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uit/Desktop/"/>
    </mc:Choice>
  </mc:AlternateContent>
  <bookViews>
    <workbookView xWindow="60" yWindow="0" windowWidth="31580" windowHeight="21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2" i="1"/>
  <c r="F31" i="1"/>
  <c r="F32" i="1"/>
  <c r="E19" i="1"/>
  <c r="O38" i="1" l="1"/>
  <c r="P38" i="1"/>
  <c r="Q38" i="1"/>
  <c r="K38" i="1"/>
  <c r="L38" i="1"/>
  <c r="G38" i="1"/>
  <c r="H38" i="1"/>
  <c r="E38" i="1"/>
  <c r="F38" i="1"/>
  <c r="I38" i="1"/>
  <c r="J38" i="1"/>
  <c r="D38" i="1"/>
  <c r="C38" i="1"/>
  <c r="N38" i="1"/>
  <c r="N31" i="1"/>
  <c r="O37" i="1"/>
  <c r="P37" i="1"/>
  <c r="Q37" i="1"/>
  <c r="K37" i="1"/>
  <c r="L37" i="1"/>
  <c r="G37" i="1"/>
  <c r="H37" i="1"/>
  <c r="E37" i="1"/>
  <c r="F37" i="1"/>
  <c r="I37" i="1"/>
  <c r="J37" i="1"/>
  <c r="D37" i="1"/>
  <c r="C37" i="1"/>
  <c r="M37" i="1"/>
  <c r="N37" i="1"/>
  <c r="N27" i="1"/>
  <c r="O36" i="1"/>
  <c r="P36" i="1"/>
  <c r="Q36" i="1"/>
  <c r="K36" i="1"/>
  <c r="L36" i="1"/>
  <c r="G36" i="1"/>
  <c r="H36" i="1"/>
  <c r="F36" i="1"/>
  <c r="I36" i="1"/>
  <c r="J36" i="1"/>
  <c r="D36" i="1"/>
  <c r="C36" i="1"/>
  <c r="M36" i="1"/>
  <c r="N36" i="1"/>
  <c r="E35" i="1"/>
  <c r="I35" i="1"/>
  <c r="N35" i="1"/>
  <c r="M29" i="1"/>
  <c r="C29" i="1"/>
  <c r="D29" i="1"/>
  <c r="J29" i="1"/>
  <c r="I29" i="1"/>
  <c r="F29" i="1"/>
  <c r="E29" i="1"/>
  <c r="H29" i="1"/>
  <c r="G29" i="1"/>
  <c r="L29" i="1"/>
  <c r="K29" i="1"/>
  <c r="Q29" i="1"/>
  <c r="P29" i="1"/>
  <c r="O29" i="1"/>
  <c r="N29" i="1"/>
  <c r="M32" i="1"/>
  <c r="C32" i="1"/>
  <c r="D32" i="1"/>
  <c r="J32" i="1"/>
  <c r="J35" i="1" s="1"/>
  <c r="I32" i="1"/>
  <c r="F33" i="1"/>
  <c r="H32" i="1"/>
  <c r="H35" i="1" s="1"/>
  <c r="G32" i="1"/>
  <c r="G33" i="1" s="1"/>
  <c r="L32" i="1"/>
  <c r="L33" i="1" s="1"/>
  <c r="K32" i="1"/>
  <c r="Q32" i="1"/>
  <c r="Q35" i="1" s="1"/>
  <c r="P32" i="1"/>
  <c r="O32" i="1"/>
  <c r="N32" i="1"/>
  <c r="M31" i="1"/>
  <c r="C31" i="1"/>
  <c r="D31" i="1"/>
  <c r="J31" i="1"/>
  <c r="I31" i="1"/>
  <c r="E31" i="1"/>
  <c r="E33" i="1" s="1"/>
  <c r="H31" i="1"/>
  <c r="G31" i="1"/>
  <c r="L31" i="1"/>
  <c r="K31" i="1"/>
  <c r="Q31" i="1"/>
  <c r="P31" i="1"/>
  <c r="O31" i="1"/>
  <c r="M30" i="1"/>
  <c r="C30" i="1"/>
  <c r="D30" i="1"/>
  <c r="J30" i="1"/>
  <c r="I30" i="1"/>
  <c r="F30" i="1"/>
  <c r="E30" i="1"/>
  <c r="E34" i="1" s="1"/>
  <c r="H30" i="1"/>
  <c r="G30" i="1"/>
  <c r="L30" i="1"/>
  <c r="K30" i="1"/>
  <c r="Q30" i="1"/>
  <c r="O30" i="1"/>
  <c r="N30" i="1"/>
  <c r="N34" i="1" s="1"/>
  <c r="P30" i="1"/>
  <c r="M28" i="1"/>
  <c r="C28" i="1"/>
  <c r="D28" i="1"/>
  <c r="J28" i="1"/>
  <c r="I28" i="1"/>
  <c r="F28" i="1"/>
  <c r="E28" i="1"/>
  <c r="H28" i="1"/>
  <c r="G28" i="1"/>
  <c r="L28" i="1"/>
  <c r="K28" i="1"/>
  <c r="Q28" i="1"/>
  <c r="P28" i="1"/>
  <c r="O28" i="1"/>
  <c r="N28" i="1"/>
  <c r="M27" i="1"/>
  <c r="C27" i="1"/>
  <c r="D27" i="1"/>
  <c r="J27" i="1"/>
  <c r="I27" i="1"/>
  <c r="F27" i="1"/>
  <c r="E27" i="1"/>
  <c r="H27" i="1"/>
  <c r="G27" i="1"/>
  <c r="L27" i="1"/>
  <c r="K27" i="1"/>
  <c r="Q27" i="1"/>
  <c r="P27" i="1"/>
  <c r="O27" i="1"/>
  <c r="M19" i="1"/>
  <c r="C19" i="1"/>
  <c r="D19" i="1"/>
  <c r="J19" i="1"/>
  <c r="I19" i="1"/>
  <c r="F19" i="1"/>
  <c r="H19" i="1"/>
  <c r="G19" i="1"/>
  <c r="L19" i="1"/>
  <c r="K19" i="1"/>
  <c r="Q19" i="1"/>
  <c r="P19" i="1"/>
  <c r="O19" i="1"/>
  <c r="N19" i="1"/>
  <c r="C25" i="1"/>
  <c r="D25" i="1"/>
  <c r="J25" i="1"/>
  <c r="F25" i="1"/>
  <c r="H25" i="1"/>
  <c r="G25" i="1"/>
  <c r="L25" i="1"/>
  <c r="K25" i="1"/>
  <c r="Q25" i="1"/>
  <c r="P25" i="1"/>
  <c r="O25" i="1"/>
  <c r="M25" i="1"/>
  <c r="N25" i="1"/>
  <c r="E25" i="1"/>
  <c r="I25" i="1"/>
  <c r="H34" i="1" l="1"/>
  <c r="Q33" i="1"/>
  <c r="P34" i="1"/>
  <c r="D34" i="1"/>
  <c r="K34" i="1"/>
  <c r="C33" i="1"/>
  <c r="M33" i="1"/>
  <c r="P35" i="1"/>
  <c r="M35" i="1"/>
  <c r="D33" i="1"/>
  <c r="J34" i="1"/>
  <c r="H33" i="1"/>
  <c r="Q34" i="1"/>
  <c r="J33" i="1"/>
  <c r="O34" i="1"/>
  <c r="I33" i="1"/>
  <c r="K33" i="1"/>
  <c r="G35" i="1"/>
  <c r="N33" i="1"/>
  <c r="P33" i="1"/>
  <c r="I34" i="1"/>
  <c r="F35" i="1"/>
  <c r="F34" i="1"/>
  <c r="O33" i="1"/>
  <c r="M34" i="1"/>
  <c r="G34" i="1"/>
  <c r="C35" i="1"/>
  <c r="C34" i="1"/>
  <c r="L34" i="1"/>
  <c r="D35" i="1"/>
  <c r="K35" i="1"/>
  <c r="O35" i="1"/>
  <c r="L35" i="1"/>
</calcChain>
</file>

<file path=xl/sharedStrings.xml><?xml version="1.0" encoding="utf-8"?>
<sst xmlns="http://schemas.openxmlformats.org/spreadsheetml/2006/main" count="82" uniqueCount="72">
  <si>
    <t>Model</t>
  </si>
  <si>
    <t>Engine</t>
  </si>
  <si>
    <t>RV-12iS</t>
  </si>
  <si>
    <t>RV-12</t>
  </si>
  <si>
    <t>RV-14</t>
  </si>
  <si>
    <t>Top Speed mph</t>
  </si>
  <si>
    <t>Cruise mph</t>
  </si>
  <si>
    <t>Stall mph</t>
  </si>
  <si>
    <t>TO Dist ft</t>
  </si>
  <si>
    <t>LD Dist ft</t>
  </si>
  <si>
    <t>ROC fpm</t>
  </si>
  <si>
    <t>Ceiling ft</t>
  </si>
  <si>
    <t>Range sm</t>
  </si>
  <si>
    <t>Wing Area sq ft</t>
  </si>
  <si>
    <t>Empty Weight lbs</t>
  </si>
  <si>
    <t>Gross Weight lbs</t>
  </si>
  <si>
    <t>Wing Load lb/sq ft</t>
  </si>
  <si>
    <t>Power Load lb/hp</t>
  </si>
  <si>
    <t>Fuel Capacity USG</t>
  </si>
  <si>
    <t>Cabin Width in</t>
  </si>
  <si>
    <t>Baggage lbs</t>
  </si>
  <si>
    <t>RV-14A</t>
  </si>
  <si>
    <t>RV-9</t>
  </si>
  <si>
    <t>RV-9A</t>
  </si>
  <si>
    <t>7,10</t>
  </si>
  <si>
    <t>Span ft,in</t>
  </si>
  <si>
    <t>Length ft,in</t>
  </si>
  <si>
    <t>Height ft,in</t>
  </si>
  <si>
    <t>26,9</t>
  </si>
  <si>
    <t>19,11</t>
  </si>
  <si>
    <t>8,4</t>
  </si>
  <si>
    <t>21,1</t>
  </si>
  <si>
    <t>5,11.75</t>
  </si>
  <si>
    <t>126,1</t>
  </si>
  <si>
    <t>8,2</t>
  </si>
  <si>
    <t>20,5</t>
  </si>
  <si>
    <t>RV-7</t>
  </si>
  <si>
    <t>20,4</t>
  </si>
  <si>
    <t>5,10</t>
  </si>
  <si>
    <t>RV-7A</t>
  </si>
  <si>
    <t>RV-6</t>
  </si>
  <si>
    <t>20,2</t>
  </si>
  <si>
    <t>5,3</t>
  </si>
  <si>
    <t>RV-6A</t>
  </si>
  <si>
    <t>19,9</t>
  </si>
  <si>
    <t>6,8</t>
  </si>
  <si>
    <t>RV-8</t>
  </si>
  <si>
    <t>5,7</t>
  </si>
  <si>
    <t>RV-8A</t>
  </si>
  <si>
    <t>20,10</t>
  </si>
  <si>
    <t>7,4</t>
  </si>
  <si>
    <t>RV-4</t>
  </si>
  <si>
    <t>5,5</t>
  </si>
  <si>
    <t>RV-3B</t>
  </si>
  <si>
    <t>Speed Ratio</t>
  </si>
  <si>
    <t>RV-10</t>
  </si>
  <si>
    <t>31,9</t>
  </si>
  <si>
    <t>24,5</t>
  </si>
  <si>
    <t>8,8</t>
  </si>
  <si>
    <t>Span m</t>
  </si>
  <si>
    <t>Length m</t>
  </si>
  <si>
    <t>Height m</t>
  </si>
  <si>
    <t>Wing Area m2</t>
  </si>
  <si>
    <t>Empty Weight kg</t>
  </si>
  <si>
    <t>Gross Weight kg</t>
  </si>
  <si>
    <t>Wing Load kg/m2</t>
  </si>
  <si>
    <t>Power Load hp/kg</t>
  </si>
  <si>
    <t>Fuel Capacity lt</t>
  </si>
  <si>
    <t>Baggage kg</t>
  </si>
  <si>
    <t>Cabin Width m</t>
  </si>
  <si>
    <t>Useful Load kg</t>
  </si>
  <si>
    <t>Useful Load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</si>
</sst>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D5FC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12" fontId="1" fillId="9" borderId="3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2" fontId="1" fillId="9" borderId="3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2" fontId="1" fillId="10" borderId="3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2" fontId="1" fillId="8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C79"/>
      <color rgb="FF7A81FF"/>
      <color rgb="FFFF9300"/>
      <color rgb="FFFF85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abSelected="1" zoomScale="110" zoomScaleNormal="110" workbookViewId="0">
      <selection activeCell="S38" sqref="S38"/>
    </sheetView>
  </sheetViews>
  <sheetFormatPr baseColWidth="10" defaultRowHeight="19" x14ac:dyDescent="0.25"/>
  <cols>
    <col min="2" max="2" width="24.83203125" style="27" customWidth="1"/>
    <col min="3" max="3" width="10.83203125" style="15"/>
    <col min="4" max="4" width="10.83203125" style="92"/>
    <col min="5" max="5" width="10.83203125" style="24"/>
    <col min="6" max="6" width="10.83203125" style="11"/>
    <col min="7" max="7" width="10.83203125" style="23"/>
    <col min="8" max="8" width="10.83203125" style="9"/>
    <col min="9" max="9" width="10.83203125" style="25"/>
    <col min="10" max="10" width="10.83203125" style="13"/>
    <col min="11" max="11" width="10.6640625" style="22" customWidth="1"/>
    <col min="12" max="12" width="10.83203125" style="7"/>
    <col min="13" max="13" width="10.83203125" style="17"/>
    <col min="14" max="14" width="10.83203125" style="20"/>
    <col min="15" max="15" width="11" style="3" customWidth="1"/>
    <col min="16" max="16" width="10.83203125" style="21"/>
    <col min="17" max="17" width="10.6640625" style="5" customWidth="1"/>
  </cols>
  <sheetData>
    <row r="1" spans="2:17" ht="20" thickBot="1" x14ac:dyDescent="0.3"/>
    <row r="2" spans="2:17" s="42" customFormat="1" ht="22" thickBot="1" x14ac:dyDescent="0.3">
      <c r="B2" s="26" t="s">
        <v>0</v>
      </c>
      <c r="C2" s="40" t="s">
        <v>53</v>
      </c>
      <c r="D2" s="93" t="s">
        <v>51</v>
      </c>
      <c r="E2" s="36" t="s">
        <v>40</v>
      </c>
      <c r="F2" s="37" t="s">
        <v>43</v>
      </c>
      <c r="G2" s="34" t="s">
        <v>36</v>
      </c>
      <c r="H2" s="35" t="s">
        <v>39</v>
      </c>
      <c r="I2" s="38" t="s">
        <v>46</v>
      </c>
      <c r="J2" s="39" t="s">
        <v>48</v>
      </c>
      <c r="K2" s="32" t="s">
        <v>22</v>
      </c>
      <c r="L2" s="33" t="s">
        <v>23</v>
      </c>
      <c r="M2" s="41" t="s">
        <v>55</v>
      </c>
      <c r="N2" s="28" t="s">
        <v>2</v>
      </c>
      <c r="O2" s="29" t="s">
        <v>3</v>
      </c>
      <c r="P2" s="30" t="s">
        <v>4</v>
      </c>
      <c r="Q2" s="31" t="s">
        <v>21</v>
      </c>
    </row>
    <row r="3" spans="2:17" s="18" customFormat="1" ht="20" thickBot="1" x14ac:dyDescent="0.3">
      <c r="B3" s="26" t="s">
        <v>1</v>
      </c>
      <c r="C3" s="55">
        <v>150</v>
      </c>
      <c r="D3" s="94">
        <v>180</v>
      </c>
      <c r="E3" s="51">
        <v>180</v>
      </c>
      <c r="F3" s="52">
        <v>180</v>
      </c>
      <c r="G3" s="49">
        <v>200</v>
      </c>
      <c r="H3" s="50">
        <v>200</v>
      </c>
      <c r="I3" s="53">
        <v>200</v>
      </c>
      <c r="J3" s="54">
        <v>200</v>
      </c>
      <c r="K3" s="47">
        <v>160</v>
      </c>
      <c r="L3" s="48">
        <v>160</v>
      </c>
      <c r="M3" s="56">
        <v>260</v>
      </c>
      <c r="N3" s="43">
        <v>100</v>
      </c>
      <c r="O3" s="44">
        <v>100</v>
      </c>
      <c r="P3" s="45">
        <v>200</v>
      </c>
      <c r="Q3" s="46">
        <v>210</v>
      </c>
    </row>
    <row r="4" spans="2:17" s="19" customFormat="1" ht="20" thickBot="1" x14ac:dyDescent="0.3">
      <c r="B4" s="26" t="s">
        <v>5</v>
      </c>
      <c r="C4" s="69">
        <v>207</v>
      </c>
      <c r="D4" s="95">
        <v>212</v>
      </c>
      <c r="E4" s="65">
        <v>209</v>
      </c>
      <c r="F4" s="66">
        <v>207</v>
      </c>
      <c r="G4" s="63">
        <v>216</v>
      </c>
      <c r="H4" s="64">
        <v>213</v>
      </c>
      <c r="I4" s="67">
        <v>221</v>
      </c>
      <c r="J4" s="68">
        <v>219</v>
      </c>
      <c r="K4" s="61">
        <v>196</v>
      </c>
      <c r="L4" s="62">
        <v>194</v>
      </c>
      <c r="M4" s="70">
        <v>208</v>
      </c>
      <c r="N4" s="57">
        <v>144</v>
      </c>
      <c r="O4" s="58">
        <v>139</v>
      </c>
      <c r="P4" s="59">
        <v>205</v>
      </c>
      <c r="Q4" s="60">
        <v>203</v>
      </c>
    </row>
    <row r="5" spans="2:17" s="19" customFormat="1" ht="20" thickBot="1" x14ac:dyDescent="0.3">
      <c r="B5" s="26" t="s">
        <v>6</v>
      </c>
      <c r="C5" s="69">
        <v>196</v>
      </c>
      <c r="D5" s="95">
        <v>200</v>
      </c>
      <c r="E5" s="65">
        <v>198</v>
      </c>
      <c r="F5" s="66">
        <v>196</v>
      </c>
      <c r="G5" s="63">
        <v>206</v>
      </c>
      <c r="H5" s="64">
        <v>204</v>
      </c>
      <c r="I5" s="67">
        <v>210</v>
      </c>
      <c r="J5" s="68">
        <v>208</v>
      </c>
      <c r="K5" s="61">
        <v>188</v>
      </c>
      <c r="L5" s="62">
        <v>186</v>
      </c>
      <c r="M5" s="70">
        <v>197</v>
      </c>
      <c r="N5" s="57">
        <v>135</v>
      </c>
      <c r="O5" s="58">
        <v>136</v>
      </c>
      <c r="P5" s="59">
        <v>195</v>
      </c>
      <c r="Q5" s="60">
        <v>193</v>
      </c>
    </row>
    <row r="6" spans="2:17" s="19" customFormat="1" ht="20" thickBot="1" x14ac:dyDescent="0.3">
      <c r="B6" s="26" t="s">
        <v>7</v>
      </c>
      <c r="C6" s="69">
        <v>51</v>
      </c>
      <c r="D6" s="95">
        <v>54</v>
      </c>
      <c r="E6" s="65">
        <v>55</v>
      </c>
      <c r="F6" s="66">
        <v>55</v>
      </c>
      <c r="G6" s="63">
        <v>58</v>
      </c>
      <c r="H6" s="64">
        <v>58</v>
      </c>
      <c r="I6" s="67">
        <v>58</v>
      </c>
      <c r="J6" s="68">
        <v>58</v>
      </c>
      <c r="K6" s="61">
        <v>50</v>
      </c>
      <c r="L6" s="62">
        <v>50</v>
      </c>
      <c r="M6" s="70">
        <v>63</v>
      </c>
      <c r="N6" s="57">
        <v>47</v>
      </c>
      <c r="O6" s="58">
        <v>47</v>
      </c>
      <c r="P6" s="59">
        <v>59</v>
      </c>
      <c r="Q6" s="60">
        <v>59</v>
      </c>
    </row>
    <row r="7" spans="2:17" s="19" customFormat="1" ht="20" thickBot="1" x14ac:dyDescent="0.3">
      <c r="B7" s="26" t="s">
        <v>8</v>
      </c>
      <c r="C7" s="69">
        <v>300</v>
      </c>
      <c r="D7" s="95">
        <v>400</v>
      </c>
      <c r="E7" s="65">
        <v>475</v>
      </c>
      <c r="F7" s="66">
        <v>485</v>
      </c>
      <c r="G7" s="63">
        <v>500</v>
      </c>
      <c r="H7" s="64">
        <v>500</v>
      </c>
      <c r="I7" s="67">
        <v>500</v>
      </c>
      <c r="J7" s="68">
        <v>500</v>
      </c>
      <c r="K7" s="61">
        <v>475</v>
      </c>
      <c r="L7" s="62">
        <v>475</v>
      </c>
      <c r="M7" s="70">
        <v>500</v>
      </c>
      <c r="N7" s="57">
        <v>700</v>
      </c>
      <c r="O7" s="58">
        <v>700</v>
      </c>
      <c r="P7" s="59">
        <v>512</v>
      </c>
      <c r="Q7" s="60"/>
    </row>
    <row r="8" spans="2:17" s="19" customFormat="1" ht="20" thickBot="1" x14ac:dyDescent="0.3">
      <c r="B8" s="26" t="s">
        <v>9</v>
      </c>
      <c r="C8" s="69">
        <v>350</v>
      </c>
      <c r="D8" s="95">
        <v>425</v>
      </c>
      <c r="E8" s="65">
        <v>500</v>
      </c>
      <c r="F8" s="66">
        <v>500</v>
      </c>
      <c r="G8" s="63">
        <v>500</v>
      </c>
      <c r="H8" s="64">
        <v>500</v>
      </c>
      <c r="I8" s="67">
        <v>500</v>
      </c>
      <c r="J8" s="68">
        <v>500</v>
      </c>
      <c r="K8" s="61">
        <v>450</v>
      </c>
      <c r="L8" s="62">
        <v>450</v>
      </c>
      <c r="M8" s="70">
        <v>650</v>
      </c>
      <c r="N8" s="57">
        <v>525</v>
      </c>
      <c r="O8" s="58">
        <v>525</v>
      </c>
      <c r="P8" s="59">
        <v>550</v>
      </c>
      <c r="Q8" s="60"/>
    </row>
    <row r="9" spans="2:17" s="19" customFormat="1" ht="20" thickBot="1" x14ac:dyDescent="0.3">
      <c r="B9" s="26" t="s">
        <v>10</v>
      </c>
      <c r="C9" s="69">
        <v>2050</v>
      </c>
      <c r="D9" s="95">
        <v>1950</v>
      </c>
      <c r="E9" s="65">
        <v>1790</v>
      </c>
      <c r="F9" s="66">
        <v>1740</v>
      </c>
      <c r="G9" s="63">
        <v>1900</v>
      </c>
      <c r="H9" s="64">
        <v>1850</v>
      </c>
      <c r="I9" s="67">
        <v>1900</v>
      </c>
      <c r="J9" s="68">
        <v>1800</v>
      </c>
      <c r="K9" s="61">
        <v>1400</v>
      </c>
      <c r="L9" s="62">
        <v>1400</v>
      </c>
      <c r="M9" s="70">
        <v>1450</v>
      </c>
      <c r="N9" s="57">
        <v>1000</v>
      </c>
      <c r="O9" s="58">
        <v>900</v>
      </c>
      <c r="P9" s="59">
        <v>1500</v>
      </c>
      <c r="Q9" s="60">
        <v>1500</v>
      </c>
    </row>
    <row r="10" spans="2:17" s="19" customFormat="1" ht="20" thickBot="1" x14ac:dyDescent="0.3">
      <c r="B10" s="26" t="s">
        <v>11</v>
      </c>
      <c r="C10" s="69">
        <v>23500</v>
      </c>
      <c r="D10" s="95">
        <v>23000</v>
      </c>
      <c r="E10" s="65">
        <v>20800</v>
      </c>
      <c r="F10" s="66">
        <v>19700</v>
      </c>
      <c r="G10" s="63">
        <v>22500</v>
      </c>
      <c r="H10" s="64">
        <v>21500</v>
      </c>
      <c r="I10" s="67">
        <v>22500</v>
      </c>
      <c r="J10" s="68">
        <v>21500</v>
      </c>
      <c r="K10" s="61">
        <v>19000</v>
      </c>
      <c r="L10" s="62">
        <v>18500</v>
      </c>
      <c r="M10" s="70">
        <v>20000</v>
      </c>
      <c r="N10" s="57">
        <v>17300</v>
      </c>
      <c r="O10" s="58">
        <v>13000</v>
      </c>
      <c r="P10" s="59">
        <v>18000</v>
      </c>
      <c r="Q10" s="60">
        <v>18000</v>
      </c>
    </row>
    <row r="11" spans="2:17" s="19" customFormat="1" ht="20" thickBot="1" x14ac:dyDescent="0.3">
      <c r="B11" s="26" t="s">
        <v>12</v>
      </c>
      <c r="C11" s="69">
        <v>715</v>
      </c>
      <c r="D11" s="95"/>
      <c r="E11" s="65">
        <v>880</v>
      </c>
      <c r="F11" s="66">
        <v>810</v>
      </c>
      <c r="G11" s="63">
        <v>935</v>
      </c>
      <c r="H11" s="64">
        <v>925</v>
      </c>
      <c r="I11" s="67">
        <v>940</v>
      </c>
      <c r="J11" s="68">
        <v>930</v>
      </c>
      <c r="K11" s="61">
        <v>860</v>
      </c>
      <c r="L11" s="62">
        <v>850</v>
      </c>
      <c r="M11" s="70">
        <v>1000</v>
      </c>
      <c r="N11" s="57">
        <v>660</v>
      </c>
      <c r="O11" s="58">
        <v>614</v>
      </c>
      <c r="P11" s="59"/>
      <c r="Q11" s="60">
        <v>1080</v>
      </c>
    </row>
    <row r="12" spans="2:17" s="1" customFormat="1" ht="20" thickBot="1" x14ac:dyDescent="0.3">
      <c r="B12" s="27"/>
      <c r="C12" s="14"/>
      <c r="D12" s="96"/>
      <c r="E12" s="75"/>
      <c r="F12" s="10"/>
      <c r="G12" s="74"/>
      <c r="H12" s="8"/>
      <c r="I12" s="76"/>
      <c r="J12" s="12"/>
      <c r="K12" s="73"/>
      <c r="L12" s="6"/>
      <c r="M12" s="16"/>
      <c r="N12" s="71"/>
      <c r="O12" s="2"/>
      <c r="P12" s="72"/>
      <c r="Q12" s="4"/>
    </row>
    <row r="13" spans="2:17" s="18" customFormat="1" ht="20" thickBot="1" x14ac:dyDescent="0.3">
      <c r="B13" s="26" t="s">
        <v>25</v>
      </c>
      <c r="C13" s="98" t="s">
        <v>29</v>
      </c>
      <c r="D13" s="95">
        <v>23</v>
      </c>
      <c r="E13" s="65">
        <v>23</v>
      </c>
      <c r="F13" s="66">
        <v>23</v>
      </c>
      <c r="G13" s="63">
        <v>25</v>
      </c>
      <c r="H13" s="64">
        <v>25</v>
      </c>
      <c r="I13" s="67">
        <v>24</v>
      </c>
      <c r="J13" s="68">
        <v>24</v>
      </c>
      <c r="K13" s="61">
        <v>28</v>
      </c>
      <c r="L13" s="62">
        <v>28</v>
      </c>
      <c r="M13" s="70" t="s">
        <v>56</v>
      </c>
      <c r="N13" s="57" t="s">
        <v>28</v>
      </c>
      <c r="O13" s="58" t="s">
        <v>28</v>
      </c>
      <c r="P13" s="59">
        <v>27</v>
      </c>
      <c r="Q13" s="60">
        <v>27</v>
      </c>
    </row>
    <row r="14" spans="2:17" s="19" customFormat="1" ht="20" thickBot="1" x14ac:dyDescent="0.3">
      <c r="B14" s="26" t="s">
        <v>26</v>
      </c>
      <c r="C14" s="69">
        <v>19</v>
      </c>
      <c r="D14" s="95" t="s">
        <v>37</v>
      </c>
      <c r="E14" s="65" t="s">
        <v>41</v>
      </c>
      <c r="F14" s="66" t="s">
        <v>44</v>
      </c>
      <c r="G14" s="63" t="s">
        <v>37</v>
      </c>
      <c r="H14" s="64" t="s">
        <v>37</v>
      </c>
      <c r="I14" s="67">
        <v>21</v>
      </c>
      <c r="J14" s="68" t="s">
        <v>49</v>
      </c>
      <c r="K14" s="61" t="s">
        <v>35</v>
      </c>
      <c r="L14" s="62" t="s">
        <v>35</v>
      </c>
      <c r="M14" s="70" t="s">
        <v>57</v>
      </c>
      <c r="N14" s="57" t="s">
        <v>29</v>
      </c>
      <c r="O14" s="58" t="s">
        <v>29</v>
      </c>
      <c r="P14" s="59" t="s">
        <v>31</v>
      </c>
      <c r="Q14" s="60" t="s">
        <v>31</v>
      </c>
    </row>
    <row r="15" spans="2:17" s="19" customFormat="1" ht="20" thickBot="1" x14ac:dyDescent="0.3">
      <c r="B15" s="26" t="s">
        <v>27</v>
      </c>
      <c r="C15" s="69">
        <v>5</v>
      </c>
      <c r="D15" s="95" t="s">
        <v>52</v>
      </c>
      <c r="E15" s="65" t="s">
        <v>42</v>
      </c>
      <c r="F15" s="66" t="s">
        <v>45</v>
      </c>
      <c r="G15" s="63" t="s">
        <v>38</v>
      </c>
      <c r="H15" s="64" t="s">
        <v>24</v>
      </c>
      <c r="I15" s="67" t="s">
        <v>47</v>
      </c>
      <c r="J15" s="68" t="s">
        <v>50</v>
      </c>
      <c r="K15" s="61">
        <v>6</v>
      </c>
      <c r="L15" s="62" t="s">
        <v>24</v>
      </c>
      <c r="M15" s="70" t="s">
        <v>58</v>
      </c>
      <c r="N15" s="57" t="s">
        <v>30</v>
      </c>
      <c r="O15" s="58" t="s">
        <v>30</v>
      </c>
      <c r="P15" s="59" t="s">
        <v>32</v>
      </c>
      <c r="Q15" s="60" t="s">
        <v>34</v>
      </c>
    </row>
    <row r="16" spans="2:17" s="19" customFormat="1" ht="20" thickBot="1" x14ac:dyDescent="0.3">
      <c r="B16" s="26" t="s">
        <v>13</v>
      </c>
      <c r="C16" s="69">
        <v>90</v>
      </c>
      <c r="D16" s="95">
        <v>110</v>
      </c>
      <c r="E16" s="65">
        <v>110</v>
      </c>
      <c r="F16" s="66">
        <v>110</v>
      </c>
      <c r="G16" s="63">
        <v>121</v>
      </c>
      <c r="H16" s="64">
        <v>121</v>
      </c>
      <c r="I16" s="67">
        <v>116</v>
      </c>
      <c r="J16" s="68">
        <v>116</v>
      </c>
      <c r="K16" s="61">
        <v>124</v>
      </c>
      <c r="L16" s="62">
        <v>124</v>
      </c>
      <c r="M16" s="70">
        <v>148</v>
      </c>
      <c r="N16" s="57">
        <v>127</v>
      </c>
      <c r="O16" s="58">
        <v>127</v>
      </c>
      <c r="P16" s="59" t="s">
        <v>33</v>
      </c>
      <c r="Q16" s="60" t="s">
        <v>33</v>
      </c>
    </row>
    <row r="17" spans="2:17" s="19" customFormat="1" ht="20" thickBot="1" x14ac:dyDescent="0.3">
      <c r="B17" s="26" t="s">
        <v>14</v>
      </c>
      <c r="C17" s="69">
        <v>750</v>
      </c>
      <c r="D17" s="95">
        <v>913</v>
      </c>
      <c r="E17" s="65">
        <v>965</v>
      </c>
      <c r="F17" s="66">
        <v>985</v>
      </c>
      <c r="G17" s="63">
        <v>1114</v>
      </c>
      <c r="H17" s="64">
        <v>1130</v>
      </c>
      <c r="I17" s="67">
        <v>1120</v>
      </c>
      <c r="J17" s="68">
        <v>1120</v>
      </c>
      <c r="K17" s="61">
        <v>1057</v>
      </c>
      <c r="L17" s="62">
        <v>1057</v>
      </c>
      <c r="M17" s="70">
        <v>1630</v>
      </c>
      <c r="N17" s="57">
        <v>775</v>
      </c>
      <c r="O17" s="58">
        <v>775</v>
      </c>
      <c r="P17" s="59">
        <v>1225</v>
      </c>
      <c r="Q17" s="60">
        <v>1240</v>
      </c>
    </row>
    <row r="18" spans="2:17" s="19" customFormat="1" ht="20" thickBot="1" x14ac:dyDescent="0.3">
      <c r="B18" s="26" t="s">
        <v>15</v>
      </c>
      <c r="C18" s="69">
        <v>1100</v>
      </c>
      <c r="D18" s="95">
        <v>1500</v>
      </c>
      <c r="E18" s="65">
        <v>1650</v>
      </c>
      <c r="F18" s="66">
        <v>1650</v>
      </c>
      <c r="G18" s="63">
        <v>1800</v>
      </c>
      <c r="H18" s="64">
        <v>1800</v>
      </c>
      <c r="I18" s="67">
        <v>1800</v>
      </c>
      <c r="J18" s="68">
        <v>1800</v>
      </c>
      <c r="K18" s="61">
        <v>1750</v>
      </c>
      <c r="L18" s="62">
        <v>1750</v>
      </c>
      <c r="M18" s="70">
        <v>2700</v>
      </c>
      <c r="N18" s="57">
        <v>1320</v>
      </c>
      <c r="O18" s="58">
        <v>1320</v>
      </c>
      <c r="P18" s="59">
        <v>2050</v>
      </c>
      <c r="Q18" s="60">
        <v>2050</v>
      </c>
    </row>
    <row r="19" spans="2:17" s="19" customFormat="1" ht="20" thickBot="1" x14ac:dyDescent="0.3">
      <c r="B19" s="26" t="s">
        <v>71</v>
      </c>
      <c r="C19" s="69">
        <f>C18-C17</f>
        <v>350</v>
      </c>
      <c r="D19" s="95">
        <f>D18-D17</f>
        <v>587</v>
      </c>
      <c r="E19" s="65">
        <f>E18-E17</f>
        <v>685</v>
      </c>
      <c r="F19" s="66">
        <f>F18-F17</f>
        <v>665</v>
      </c>
      <c r="G19" s="63">
        <f>G18-G17</f>
        <v>686</v>
      </c>
      <c r="H19" s="64">
        <f>H18-H17</f>
        <v>670</v>
      </c>
      <c r="I19" s="67">
        <f>I18-I17</f>
        <v>680</v>
      </c>
      <c r="J19" s="68">
        <f>J18-J17</f>
        <v>680</v>
      </c>
      <c r="K19" s="61">
        <f>K18-K17</f>
        <v>693</v>
      </c>
      <c r="L19" s="62">
        <f>L18-L17</f>
        <v>693</v>
      </c>
      <c r="M19" s="70">
        <f t="shared" ref="M19" si="0">M18-M17</f>
        <v>1070</v>
      </c>
      <c r="N19" s="57">
        <f>N18-N17</f>
        <v>545</v>
      </c>
      <c r="O19" s="58">
        <f>O18-O17</f>
        <v>545</v>
      </c>
      <c r="P19" s="59">
        <f>P18-P17</f>
        <v>825</v>
      </c>
      <c r="Q19" s="60">
        <f>Q18-Q17</f>
        <v>810</v>
      </c>
    </row>
    <row r="20" spans="2:17" s="19" customFormat="1" ht="20" thickBot="1" x14ac:dyDescent="0.3">
      <c r="B20" s="26" t="s">
        <v>16</v>
      </c>
      <c r="C20" s="69">
        <v>12.22</v>
      </c>
      <c r="D20" s="95">
        <v>13.64</v>
      </c>
      <c r="E20" s="65">
        <v>15</v>
      </c>
      <c r="F20" s="66">
        <v>15</v>
      </c>
      <c r="G20" s="63">
        <v>14.8</v>
      </c>
      <c r="H20" s="64">
        <v>14.8</v>
      </c>
      <c r="I20" s="67">
        <v>15.5</v>
      </c>
      <c r="J20" s="68">
        <v>15.5</v>
      </c>
      <c r="K20" s="61">
        <v>14.1</v>
      </c>
      <c r="L20" s="62">
        <v>14.1</v>
      </c>
      <c r="M20" s="70">
        <v>18.600000000000001</v>
      </c>
      <c r="N20" s="57">
        <v>10.4</v>
      </c>
      <c r="O20" s="58">
        <v>10.4</v>
      </c>
      <c r="P20" s="59">
        <v>16.260000000000002</v>
      </c>
      <c r="Q20" s="60">
        <v>16.260000000000002</v>
      </c>
    </row>
    <row r="21" spans="2:17" s="19" customFormat="1" ht="20" thickBot="1" x14ac:dyDescent="0.3">
      <c r="B21" s="26" t="s">
        <v>17</v>
      </c>
      <c r="C21" s="69">
        <v>11</v>
      </c>
      <c r="D21" s="95">
        <v>10</v>
      </c>
      <c r="E21" s="65">
        <v>10</v>
      </c>
      <c r="F21" s="66">
        <v>10.3</v>
      </c>
      <c r="G21" s="63">
        <v>12</v>
      </c>
      <c r="H21" s="64">
        <v>12</v>
      </c>
      <c r="I21" s="67">
        <v>12</v>
      </c>
      <c r="J21" s="68">
        <v>12</v>
      </c>
      <c r="K21" s="61">
        <v>13.6</v>
      </c>
      <c r="L21" s="62">
        <v>13.6</v>
      </c>
      <c r="M21" s="70">
        <v>13.5</v>
      </c>
      <c r="N21" s="57">
        <v>13.2</v>
      </c>
      <c r="O21" s="58">
        <v>13.2</v>
      </c>
      <c r="P21" s="59">
        <v>10.25</v>
      </c>
      <c r="Q21" s="60">
        <v>9.76</v>
      </c>
    </row>
    <row r="22" spans="2:17" s="19" customFormat="1" ht="20" thickBot="1" x14ac:dyDescent="0.3">
      <c r="B22" s="26" t="s">
        <v>18</v>
      </c>
      <c r="C22" s="69">
        <v>30</v>
      </c>
      <c r="D22" s="95">
        <v>32</v>
      </c>
      <c r="E22" s="65">
        <v>38</v>
      </c>
      <c r="F22" s="66">
        <v>38</v>
      </c>
      <c r="G22" s="63">
        <v>42</v>
      </c>
      <c r="H22" s="64">
        <v>42</v>
      </c>
      <c r="I22" s="67">
        <v>42</v>
      </c>
      <c r="J22" s="68">
        <v>42</v>
      </c>
      <c r="K22" s="61">
        <v>36</v>
      </c>
      <c r="L22" s="62">
        <v>36</v>
      </c>
      <c r="M22" s="70">
        <v>60</v>
      </c>
      <c r="N22" s="57">
        <v>20</v>
      </c>
      <c r="O22" s="58">
        <v>20</v>
      </c>
      <c r="P22" s="59">
        <v>50</v>
      </c>
      <c r="Q22" s="60">
        <v>50</v>
      </c>
    </row>
    <row r="23" spans="2:17" s="19" customFormat="1" ht="20" thickBot="1" x14ac:dyDescent="0.3">
      <c r="B23" s="26" t="s">
        <v>19</v>
      </c>
      <c r="C23" s="69"/>
      <c r="D23" s="95">
        <v>28</v>
      </c>
      <c r="E23" s="65">
        <v>43</v>
      </c>
      <c r="F23" s="66">
        <v>43</v>
      </c>
      <c r="G23" s="63">
        <v>43</v>
      </c>
      <c r="H23" s="64">
        <v>43</v>
      </c>
      <c r="I23" s="67">
        <v>33</v>
      </c>
      <c r="J23" s="68">
        <v>33</v>
      </c>
      <c r="K23" s="61">
        <v>43</v>
      </c>
      <c r="L23" s="62">
        <v>43</v>
      </c>
      <c r="M23" s="77">
        <v>48.25</v>
      </c>
      <c r="N23" s="57">
        <v>43</v>
      </c>
      <c r="O23" s="58">
        <v>43</v>
      </c>
      <c r="P23" s="59">
        <v>46</v>
      </c>
      <c r="Q23" s="60">
        <v>46</v>
      </c>
    </row>
    <row r="24" spans="2:17" s="19" customFormat="1" ht="20" thickBot="1" x14ac:dyDescent="0.3">
      <c r="B24" s="26" t="s">
        <v>20</v>
      </c>
      <c r="C24" s="69">
        <v>30</v>
      </c>
      <c r="D24" s="95">
        <v>50</v>
      </c>
      <c r="E24" s="65">
        <v>100</v>
      </c>
      <c r="F24" s="66">
        <v>100</v>
      </c>
      <c r="G24" s="63">
        <v>100</v>
      </c>
      <c r="H24" s="64">
        <v>100</v>
      </c>
      <c r="I24" s="67">
        <v>125</v>
      </c>
      <c r="J24" s="68">
        <v>125</v>
      </c>
      <c r="K24" s="61">
        <v>75</v>
      </c>
      <c r="L24" s="62">
        <v>75</v>
      </c>
      <c r="M24" s="70"/>
      <c r="N24" s="57">
        <v>75</v>
      </c>
      <c r="O24" s="58">
        <v>75</v>
      </c>
      <c r="P24" s="59">
        <v>100</v>
      </c>
      <c r="Q24" s="60">
        <v>100</v>
      </c>
    </row>
    <row r="25" spans="2:17" s="19" customFormat="1" ht="20" thickBot="1" x14ac:dyDescent="0.3">
      <c r="B25" s="26" t="s">
        <v>54</v>
      </c>
      <c r="C25" s="90">
        <f>C4/C6</f>
        <v>4.0588235294117645</v>
      </c>
      <c r="D25" s="97">
        <f>D4/D6</f>
        <v>3.925925925925926</v>
      </c>
      <c r="E25" s="86">
        <f>E4/E6</f>
        <v>3.8</v>
      </c>
      <c r="F25" s="87">
        <f>F4/F6</f>
        <v>3.7636363636363637</v>
      </c>
      <c r="G25" s="84">
        <f>G4/G6</f>
        <v>3.7241379310344827</v>
      </c>
      <c r="H25" s="85">
        <f>H4/H6</f>
        <v>3.6724137931034484</v>
      </c>
      <c r="I25" s="88">
        <f>I4/I6</f>
        <v>3.8103448275862069</v>
      </c>
      <c r="J25" s="89">
        <f>J4/J6</f>
        <v>3.7758620689655173</v>
      </c>
      <c r="K25" s="82">
        <f>K4/K6</f>
        <v>3.92</v>
      </c>
      <c r="L25" s="83">
        <f>L4/L6</f>
        <v>3.88</v>
      </c>
      <c r="M25" s="91">
        <f t="shared" ref="M25" si="1">M4/M6</f>
        <v>3.3015873015873014</v>
      </c>
      <c r="N25" s="78">
        <f>N4/N6</f>
        <v>3.0638297872340425</v>
      </c>
      <c r="O25" s="79">
        <f>O4/O6</f>
        <v>2.9574468085106385</v>
      </c>
      <c r="P25" s="80">
        <f>P4/P6</f>
        <v>3.4745762711864407</v>
      </c>
      <c r="Q25" s="81">
        <f>Q4/Q6</f>
        <v>3.4406779661016951</v>
      </c>
    </row>
    <row r="26" spans="2:17" s="1" customFormat="1" ht="20" thickBot="1" x14ac:dyDescent="0.3">
      <c r="B26" s="27"/>
      <c r="C26" s="14"/>
      <c r="D26" s="96"/>
      <c r="E26" s="75"/>
      <c r="F26" s="10"/>
      <c r="G26" s="74"/>
      <c r="H26" s="8"/>
      <c r="I26" s="76"/>
      <c r="J26" s="12"/>
      <c r="K26" s="73"/>
      <c r="L26" s="6"/>
      <c r="M26" s="16"/>
      <c r="N26" s="71"/>
      <c r="O26" s="2"/>
      <c r="P26" s="72"/>
      <c r="Q26" s="4"/>
    </row>
    <row r="27" spans="2:17" s="18" customFormat="1" ht="20" thickBot="1" x14ac:dyDescent="0.3">
      <c r="B27" s="26" t="s">
        <v>59</v>
      </c>
      <c r="C27" s="99">
        <f>(19*0.3048)+(11*0.0254)</f>
        <v>6.0705999999999998</v>
      </c>
      <c r="D27" s="97">
        <f>(23*0.3048)+(0*0.0254)</f>
        <v>7.0104000000000006</v>
      </c>
      <c r="E27" s="86">
        <f>(23*0.3048)+(0*0.0254)</f>
        <v>7.0104000000000006</v>
      </c>
      <c r="F27" s="87">
        <f>(23*0.3048)+(0*0.0254)</f>
        <v>7.0104000000000006</v>
      </c>
      <c r="G27" s="84">
        <f>(25*0.3048)+(0*0.0254)</f>
        <v>7.62</v>
      </c>
      <c r="H27" s="85">
        <f>(25*0.3048)+(0*0.0254)</f>
        <v>7.62</v>
      </c>
      <c r="I27" s="88">
        <f>(24*0.3048)+(0*0.0254)</f>
        <v>7.3152000000000008</v>
      </c>
      <c r="J27" s="89">
        <f>(24*0.3048)+(0*0.0254)</f>
        <v>7.3152000000000008</v>
      </c>
      <c r="K27" s="82">
        <f>(28*0.3048)+(0*0.0254)</f>
        <v>8.5343999999999998</v>
      </c>
      <c r="L27" s="83">
        <f>(28*0.3048)+(0*0.0254)</f>
        <v>8.5343999999999998</v>
      </c>
      <c r="M27" s="91">
        <f>(31*0.3048)+(9*0.0254)</f>
        <v>9.6774000000000004</v>
      </c>
      <c r="N27" s="78">
        <f>(26*0.3048)+(9*0.0254)</f>
        <v>8.1533999999999995</v>
      </c>
      <c r="O27" s="79">
        <f>(26*0.3048)+(9*0.0254)</f>
        <v>8.1533999999999995</v>
      </c>
      <c r="P27" s="80">
        <f>(27*0.3048)+(0*0.0254)</f>
        <v>8.2295999999999996</v>
      </c>
      <c r="Q27" s="81">
        <f>(27*0.3048)+(0*0.0254)</f>
        <v>8.2295999999999996</v>
      </c>
    </row>
    <row r="28" spans="2:17" s="19" customFormat="1" ht="20" thickBot="1" x14ac:dyDescent="0.3">
      <c r="B28" s="26" t="s">
        <v>60</v>
      </c>
      <c r="C28" s="90">
        <f>(19*0.3048)+(0*0.0254)</f>
        <v>5.7911999999999999</v>
      </c>
      <c r="D28" s="97">
        <f>(20*0.3048)+(4*0.0254)</f>
        <v>6.1976000000000004</v>
      </c>
      <c r="E28" s="86">
        <f>(20*0.3048)+(2*0.0254)</f>
        <v>6.1467999999999998</v>
      </c>
      <c r="F28" s="87">
        <f>(19*0.3048)+(9*0.0254)</f>
        <v>6.0198</v>
      </c>
      <c r="G28" s="84">
        <f>(20*0.3048)+(4*0.0254)</f>
        <v>6.1976000000000004</v>
      </c>
      <c r="H28" s="85">
        <f>(20*0.3048)+(4*0.0254)</f>
        <v>6.1976000000000004</v>
      </c>
      <c r="I28" s="88">
        <f>(21*0.3048)+(0*0.0254)</f>
        <v>6.4008000000000003</v>
      </c>
      <c r="J28" s="89">
        <f>(20*0.3048)+(10*0.0254)</f>
        <v>6.35</v>
      </c>
      <c r="K28" s="82">
        <f>(20*0.3048)+(5*0.0254)</f>
        <v>6.2229999999999999</v>
      </c>
      <c r="L28" s="83">
        <f>(20*0.3048)+(5*0.0254)</f>
        <v>6.2229999999999999</v>
      </c>
      <c r="M28" s="91">
        <f>(24*0.3048)+(5*0.0254)</f>
        <v>7.4422000000000006</v>
      </c>
      <c r="N28" s="78">
        <f>(19*0.3048)+(11*0.0254)</f>
        <v>6.0705999999999998</v>
      </c>
      <c r="O28" s="79">
        <f>(19*0.3048)+(11*0.0254)</f>
        <v>6.0705999999999998</v>
      </c>
      <c r="P28" s="80">
        <f>(21*0.3048)+(1*0.0254)</f>
        <v>6.4262000000000006</v>
      </c>
      <c r="Q28" s="81">
        <f>(21*0.3048)+(1*0.0254)</f>
        <v>6.4262000000000006</v>
      </c>
    </row>
    <row r="29" spans="2:17" s="19" customFormat="1" ht="20" thickBot="1" x14ac:dyDescent="0.3">
      <c r="B29" s="26" t="s">
        <v>61</v>
      </c>
      <c r="C29" s="90">
        <f>(5*0.3048)+(0*0.0254)</f>
        <v>1.524</v>
      </c>
      <c r="D29" s="97">
        <f>(5*0.3048)+(5*0.0254)</f>
        <v>1.651</v>
      </c>
      <c r="E29" s="86">
        <f>(5*0.3048)+(3*0.0254)</f>
        <v>1.6002000000000001</v>
      </c>
      <c r="F29" s="87">
        <f>(6*0.3048)+(8*0.0254)</f>
        <v>2.032</v>
      </c>
      <c r="G29" s="84">
        <f>(5*0.3048)+(10*0.0254)</f>
        <v>1.778</v>
      </c>
      <c r="H29" s="85">
        <f>(7*0.3048)+(10*0.0254)</f>
        <v>2.3875999999999999</v>
      </c>
      <c r="I29" s="88">
        <f>(5*0.3048)+(7*0.0254)</f>
        <v>1.7018</v>
      </c>
      <c r="J29" s="89">
        <f>(7*0.3048)+(4*0.0254)</f>
        <v>2.2351999999999999</v>
      </c>
      <c r="K29" s="82">
        <f>(6*0.3048)+(0*0.0254)</f>
        <v>1.8288000000000002</v>
      </c>
      <c r="L29" s="83">
        <f>(7*0.3048)+(10*0.0254)</f>
        <v>2.3875999999999999</v>
      </c>
      <c r="M29" s="91">
        <f>(8*0.3048)+(8*0.0254)</f>
        <v>2.6415999999999999</v>
      </c>
      <c r="N29" s="78">
        <f>(8*0.3048)+(4*0.0254)</f>
        <v>2.54</v>
      </c>
      <c r="O29" s="79">
        <f t="shared" ref="O29" si="2">(8*0.3048)+(4*0.0254)</f>
        <v>2.54</v>
      </c>
      <c r="P29" s="80">
        <f>(5*0.3048)+(11.75*0.0254)</f>
        <v>1.8224499999999999</v>
      </c>
      <c r="Q29" s="81">
        <f>(8*0.3048)+(2*0.0254)</f>
        <v>2.4892000000000003</v>
      </c>
    </row>
    <row r="30" spans="2:17" s="19" customFormat="1" ht="20" thickBot="1" x14ac:dyDescent="0.3">
      <c r="B30" s="26" t="s">
        <v>62</v>
      </c>
      <c r="C30" s="90">
        <f>90*0.092903</f>
        <v>8.3612699999999993</v>
      </c>
      <c r="D30" s="97">
        <f>110*0.092903</f>
        <v>10.219329999999999</v>
      </c>
      <c r="E30" s="86">
        <f>110*0.092903</f>
        <v>10.219329999999999</v>
      </c>
      <c r="F30" s="87">
        <f>110*0.092903</f>
        <v>10.219329999999999</v>
      </c>
      <c r="G30" s="84">
        <f>121*0.092903</f>
        <v>11.241263</v>
      </c>
      <c r="H30" s="85">
        <f>121*0.092903</f>
        <v>11.241263</v>
      </c>
      <c r="I30" s="88">
        <f>116*0.092903</f>
        <v>10.776748</v>
      </c>
      <c r="J30" s="89">
        <f>116*0.092903</f>
        <v>10.776748</v>
      </c>
      <c r="K30" s="82">
        <f>124*0.092903</f>
        <v>11.519971999999999</v>
      </c>
      <c r="L30" s="83">
        <f>124*0.092903</f>
        <v>11.519971999999999</v>
      </c>
      <c r="M30" s="91">
        <f>148*0.092903</f>
        <v>13.749644</v>
      </c>
      <c r="N30" s="78">
        <f>127*0.092903</f>
        <v>11.798681</v>
      </c>
      <c r="O30" s="79">
        <f>127*0.092903</f>
        <v>11.798681</v>
      </c>
      <c r="P30" s="80">
        <f>126.1*0.092903</f>
        <v>11.715068299999999</v>
      </c>
      <c r="Q30" s="81">
        <f>126.1*0.092903</f>
        <v>11.715068299999999</v>
      </c>
    </row>
    <row r="31" spans="2:17" s="19" customFormat="1" ht="20" thickBot="1" x14ac:dyDescent="0.3">
      <c r="B31" s="26" t="s">
        <v>63</v>
      </c>
      <c r="C31" s="90">
        <f>750*0.453592</f>
        <v>340.19400000000002</v>
      </c>
      <c r="D31" s="97">
        <f>913*0.453592</f>
        <v>414.12949600000002</v>
      </c>
      <c r="E31" s="86">
        <f>965*0.453592</f>
        <v>437.71627999999998</v>
      </c>
      <c r="F31" s="87">
        <f>985*0.453592</f>
        <v>446.78811999999999</v>
      </c>
      <c r="G31" s="84">
        <f>1114*0.453592</f>
        <v>505.30148800000001</v>
      </c>
      <c r="H31" s="85">
        <f>1130*0.453592</f>
        <v>512.55895999999996</v>
      </c>
      <c r="I31" s="88">
        <f>1120*0.453592</f>
        <v>508.02303999999998</v>
      </c>
      <c r="J31" s="89">
        <f>1120*0.453592</f>
        <v>508.02303999999998</v>
      </c>
      <c r="K31" s="82">
        <f>1057*0.453592</f>
        <v>479.44674399999997</v>
      </c>
      <c r="L31" s="83">
        <f>1057*0.453592</f>
        <v>479.44674399999997</v>
      </c>
      <c r="M31" s="91">
        <f>1630*0.453592</f>
        <v>739.35496000000001</v>
      </c>
      <c r="N31" s="78">
        <f>775*0.453592</f>
        <v>351.53379999999999</v>
      </c>
      <c r="O31" s="79">
        <f t="shared" ref="O31" si="3">775*0.453592</f>
        <v>351.53379999999999</v>
      </c>
      <c r="P31" s="80">
        <f>1225*0.453592</f>
        <v>555.65020000000004</v>
      </c>
      <c r="Q31" s="81">
        <f>1240*0.453592</f>
        <v>562.45407999999998</v>
      </c>
    </row>
    <row r="32" spans="2:17" s="19" customFormat="1" ht="20" thickBot="1" x14ac:dyDescent="0.3">
      <c r="B32" s="26" t="s">
        <v>64</v>
      </c>
      <c r="C32" s="90">
        <f>1100*0.453592</f>
        <v>498.95119999999997</v>
      </c>
      <c r="D32" s="97">
        <f>1500*0.453592</f>
        <v>680.38800000000003</v>
      </c>
      <c r="E32" s="86">
        <f>1650*0.453592</f>
        <v>748.42679999999996</v>
      </c>
      <c r="F32" s="87">
        <f>1650*0.453592</f>
        <v>748.42679999999996</v>
      </c>
      <c r="G32" s="84">
        <f>1800*0.453592</f>
        <v>816.46559999999999</v>
      </c>
      <c r="H32" s="85">
        <f>1800*0.453592</f>
        <v>816.46559999999999</v>
      </c>
      <c r="I32" s="88">
        <f>1800*0.453592</f>
        <v>816.46559999999999</v>
      </c>
      <c r="J32" s="89">
        <f>1800*0.453592</f>
        <v>816.46559999999999</v>
      </c>
      <c r="K32" s="82">
        <f>1750*0.453592</f>
        <v>793.78599999999994</v>
      </c>
      <c r="L32" s="83">
        <f>1750*0.453592</f>
        <v>793.78599999999994</v>
      </c>
      <c r="M32" s="91">
        <f>2700*0.453592</f>
        <v>1224.6984</v>
      </c>
      <c r="N32" s="78">
        <f>1320*0.453592</f>
        <v>598.74144000000001</v>
      </c>
      <c r="O32" s="79">
        <f t="shared" ref="O32" si="4">1320*0.453592</f>
        <v>598.74144000000001</v>
      </c>
      <c r="P32" s="80">
        <f>2050*0.453592</f>
        <v>929.86360000000002</v>
      </c>
      <c r="Q32" s="81">
        <f>2050*0.453592</f>
        <v>929.86360000000002</v>
      </c>
    </row>
    <row r="33" spans="2:17" s="19" customFormat="1" ht="20" thickBot="1" x14ac:dyDescent="0.3">
      <c r="B33" s="26" t="s">
        <v>70</v>
      </c>
      <c r="C33" s="90">
        <f>C32-C31</f>
        <v>158.75719999999995</v>
      </c>
      <c r="D33" s="97">
        <f>D32-D31</f>
        <v>266.25850400000002</v>
      </c>
      <c r="E33" s="86">
        <f>E32-E31</f>
        <v>310.71051999999997</v>
      </c>
      <c r="F33" s="87">
        <f>F32-F31</f>
        <v>301.63867999999997</v>
      </c>
      <c r="G33" s="84">
        <f>G32-G31</f>
        <v>311.16411199999999</v>
      </c>
      <c r="H33" s="85">
        <f>H32-H31</f>
        <v>303.90664000000004</v>
      </c>
      <c r="I33" s="88">
        <f>I32-I31</f>
        <v>308.44256000000001</v>
      </c>
      <c r="J33" s="89">
        <f>J32-J31</f>
        <v>308.44256000000001</v>
      </c>
      <c r="K33" s="82">
        <f>K32-K31</f>
        <v>314.33925599999998</v>
      </c>
      <c r="L33" s="83">
        <f>L32-L31</f>
        <v>314.33925599999998</v>
      </c>
      <c r="M33" s="91">
        <f t="shared" ref="M33" si="5">M32-M31</f>
        <v>485.34343999999999</v>
      </c>
      <c r="N33" s="78">
        <f>N32-N31</f>
        <v>247.20764000000003</v>
      </c>
      <c r="O33" s="79">
        <f>O32-O31</f>
        <v>247.20764000000003</v>
      </c>
      <c r="P33" s="80">
        <f>P32-P31</f>
        <v>374.21339999999998</v>
      </c>
      <c r="Q33" s="81">
        <f>Q32-Q31</f>
        <v>367.40952000000004</v>
      </c>
    </row>
    <row r="34" spans="2:17" s="19" customFormat="1" ht="20" thickBot="1" x14ac:dyDescent="0.3">
      <c r="B34" s="26" t="s">
        <v>65</v>
      </c>
      <c r="C34" s="90">
        <f>C32/C30</f>
        <v>59.674092572061426</v>
      </c>
      <c r="D34" s="97">
        <f>D32/D30</f>
        <v>66.57853303494457</v>
      </c>
      <c r="E34" s="86">
        <f>E32/E30</f>
        <v>73.236386338439019</v>
      </c>
      <c r="F34" s="87">
        <f>F32/F30</f>
        <v>73.236386338439019</v>
      </c>
      <c r="G34" s="84">
        <f>G32/G30</f>
        <v>72.631126947212252</v>
      </c>
      <c r="H34" s="85">
        <f>H32/H30</f>
        <v>72.631126947212252</v>
      </c>
      <c r="I34" s="88">
        <f>I32/I30</f>
        <v>75.761778970798986</v>
      </c>
      <c r="J34" s="89">
        <f>J32/J30</f>
        <v>75.761778970798986</v>
      </c>
      <c r="K34" s="82">
        <f>K32/K30</f>
        <v>68.905202200144231</v>
      </c>
      <c r="L34" s="83">
        <f>L32/L30</f>
        <v>68.905202200144231</v>
      </c>
      <c r="M34" s="91">
        <f t="shared" ref="M34" si="6">M32/M30</f>
        <v>89.071280681885284</v>
      </c>
      <c r="N34" s="78">
        <f>N32/N30</f>
        <v>50.746472423485301</v>
      </c>
      <c r="O34" s="79">
        <f>O32/O30</f>
        <v>50.746472423485301</v>
      </c>
      <c r="P34" s="80">
        <f>P32/P30</f>
        <v>79.37329737975152</v>
      </c>
      <c r="Q34" s="81">
        <f>Q32/Q30</f>
        <v>79.37329737975152</v>
      </c>
    </row>
    <row r="35" spans="2:17" s="19" customFormat="1" ht="20" thickBot="1" x14ac:dyDescent="0.3">
      <c r="B35" s="26" t="s">
        <v>66</v>
      </c>
      <c r="C35" s="90">
        <f>C32/C3</f>
        <v>3.3263413333333332</v>
      </c>
      <c r="D35" s="97">
        <f>D32/D3</f>
        <v>3.7799333333333336</v>
      </c>
      <c r="E35" s="86">
        <f>E32/E3</f>
        <v>4.1579266666666665</v>
      </c>
      <c r="F35" s="87">
        <f>F32/F3</f>
        <v>4.1579266666666665</v>
      </c>
      <c r="G35" s="84">
        <f>G32/G3</f>
        <v>4.0823280000000004</v>
      </c>
      <c r="H35" s="85">
        <f>H32/H3</f>
        <v>4.0823280000000004</v>
      </c>
      <c r="I35" s="88">
        <f>I32/I3</f>
        <v>4.0823280000000004</v>
      </c>
      <c r="J35" s="89">
        <f>J32/J3</f>
        <v>4.0823280000000004</v>
      </c>
      <c r="K35" s="82">
        <f>K32/K3</f>
        <v>4.9611624999999995</v>
      </c>
      <c r="L35" s="83">
        <f>L32/L3</f>
        <v>4.9611624999999995</v>
      </c>
      <c r="M35" s="91">
        <f t="shared" ref="M35" si="7">M32/M3</f>
        <v>4.7103784615384612</v>
      </c>
      <c r="N35" s="78">
        <f>N32/N3</f>
        <v>5.9874144000000005</v>
      </c>
      <c r="O35" s="79">
        <f>O32/O3</f>
        <v>5.9874144000000005</v>
      </c>
      <c r="P35" s="80">
        <f>P32/P3</f>
        <v>4.6493180000000001</v>
      </c>
      <c r="Q35" s="81">
        <f>Q32/Q3</f>
        <v>4.4279219047619049</v>
      </c>
    </row>
    <row r="36" spans="2:17" s="19" customFormat="1" ht="20" thickBot="1" x14ac:dyDescent="0.3">
      <c r="B36" s="26" t="s">
        <v>67</v>
      </c>
      <c r="C36" s="90">
        <f>C22*3.78541</f>
        <v>113.56230000000001</v>
      </c>
      <c r="D36" s="97">
        <f>D22*3.78541</f>
        <v>121.13312000000001</v>
      </c>
      <c r="E36" s="86">
        <f>E22*3.78541</f>
        <v>143.84558000000001</v>
      </c>
      <c r="F36" s="87">
        <f>F22*3.78541</f>
        <v>143.84558000000001</v>
      </c>
      <c r="G36" s="84">
        <f>G22*3.78541</f>
        <v>158.98722000000001</v>
      </c>
      <c r="H36" s="85">
        <f>H22*3.78541</f>
        <v>158.98722000000001</v>
      </c>
      <c r="I36" s="88">
        <f>I22*3.78541</f>
        <v>158.98722000000001</v>
      </c>
      <c r="J36" s="89">
        <f>J22*3.78541</f>
        <v>158.98722000000001</v>
      </c>
      <c r="K36" s="82">
        <f>K22*3.78541</f>
        <v>136.27476000000001</v>
      </c>
      <c r="L36" s="83">
        <f>L22*3.78541</f>
        <v>136.27476000000001</v>
      </c>
      <c r="M36" s="91">
        <f t="shared" ref="M36" si="8">M22*3.78541</f>
        <v>227.12460000000002</v>
      </c>
      <c r="N36" s="78">
        <f>N22*3.78541</f>
        <v>75.708200000000005</v>
      </c>
      <c r="O36" s="79">
        <f>O22*3.78541</f>
        <v>75.708200000000005</v>
      </c>
      <c r="P36" s="80">
        <f>P22*3.78541</f>
        <v>189.2705</v>
      </c>
      <c r="Q36" s="81">
        <f>Q22*3.78541</f>
        <v>189.2705</v>
      </c>
    </row>
    <row r="37" spans="2:17" s="19" customFormat="1" ht="20" thickBot="1" x14ac:dyDescent="0.3">
      <c r="B37" s="26" t="s">
        <v>69</v>
      </c>
      <c r="C37" s="90">
        <f>C23*0.0254</f>
        <v>0</v>
      </c>
      <c r="D37" s="97">
        <f>D23*0.0254</f>
        <v>0.71119999999999994</v>
      </c>
      <c r="E37" s="86">
        <f>E23*0.0254</f>
        <v>1.0922000000000001</v>
      </c>
      <c r="F37" s="87">
        <f>F23*0.0254</f>
        <v>1.0922000000000001</v>
      </c>
      <c r="G37" s="84">
        <f>G23*0.0254</f>
        <v>1.0922000000000001</v>
      </c>
      <c r="H37" s="85">
        <f>H23*0.0254</f>
        <v>1.0922000000000001</v>
      </c>
      <c r="I37" s="88">
        <f>I23*0.0254</f>
        <v>0.83819999999999995</v>
      </c>
      <c r="J37" s="89">
        <f>J23*0.0254</f>
        <v>0.83819999999999995</v>
      </c>
      <c r="K37" s="82">
        <f>K23*0.0254</f>
        <v>1.0922000000000001</v>
      </c>
      <c r="L37" s="83">
        <f>L23*0.0254</f>
        <v>1.0922000000000001</v>
      </c>
      <c r="M37" s="91">
        <f t="shared" ref="M37" si="9">M23*0.0254</f>
        <v>1.2255499999999999</v>
      </c>
      <c r="N37" s="78">
        <f>N23*0.0254</f>
        <v>1.0922000000000001</v>
      </c>
      <c r="O37" s="79">
        <f>O23*0.0254</f>
        <v>1.0922000000000001</v>
      </c>
      <c r="P37" s="80">
        <f>P23*0.0254</f>
        <v>1.1683999999999999</v>
      </c>
      <c r="Q37" s="81">
        <f>Q23*0.0254</f>
        <v>1.1683999999999999</v>
      </c>
    </row>
    <row r="38" spans="2:17" s="19" customFormat="1" ht="20" thickBot="1" x14ac:dyDescent="0.3">
      <c r="B38" s="26" t="s">
        <v>68</v>
      </c>
      <c r="C38" s="90">
        <f>C24*0.453592</f>
        <v>13.607759999999999</v>
      </c>
      <c r="D38" s="97">
        <f>D24*0.453592</f>
        <v>22.679600000000001</v>
      </c>
      <c r="E38" s="86">
        <f>E24*0.453592</f>
        <v>45.359200000000001</v>
      </c>
      <c r="F38" s="87">
        <f>F24*0.453592</f>
        <v>45.359200000000001</v>
      </c>
      <c r="G38" s="84">
        <f>G24*0.453592</f>
        <v>45.359200000000001</v>
      </c>
      <c r="H38" s="85">
        <f>H24*0.453592</f>
        <v>45.359200000000001</v>
      </c>
      <c r="I38" s="88">
        <f t="shared" ref="I38:J38" si="10">I24*0.453592</f>
        <v>56.698999999999998</v>
      </c>
      <c r="J38" s="89">
        <f t="shared" si="10"/>
        <v>56.698999999999998</v>
      </c>
      <c r="K38" s="82">
        <f>K24*0.453592</f>
        <v>34.019399999999997</v>
      </c>
      <c r="L38" s="83">
        <f>L24*0.453592</f>
        <v>34.019399999999997</v>
      </c>
      <c r="M38" s="91"/>
      <c r="N38" s="78">
        <f>N24*0.453592</f>
        <v>34.019399999999997</v>
      </c>
      <c r="O38" s="79">
        <f>O24*0.453592</f>
        <v>34.019399999999997</v>
      </c>
      <c r="P38" s="80">
        <f>P24*0.453592</f>
        <v>45.359200000000001</v>
      </c>
      <c r="Q38" s="81">
        <f>Q24*0.453592</f>
        <v>45.359200000000001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Ruiters</dc:creator>
  <cp:lastModifiedBy>Daniel Ruiters</cp:lastModifiedBy>
  <dcterms:created xsi:type="dcterms:W3CDTF">2020-01-02T10:13:46Z</dcterms:created>
  <dcterms:modified xsi:type="dcterms:W3CDTF">2020-05-28T11:40:38Z</dcterms:modified>
</cp:coreProperties>
</file>