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uit/Desktop/"/>
    </mc:Choice>
  </mc:AlternateContent>
  <bookViews>
    <workbookView xWindow="0" yWindow="0" windowWidth="51200" windowHeight="28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41" i="1" s="1"/>
  <c r="M38" i="1"/>
  <c r="M41" i="1" s="1"/>
  <c r="N38" i="1"/>
  <c r="O38" i="1"/>
  <c r="P38" i="1"/>
  <c r="Q38" i="1"/>
  <c r="R38" i="1"/>
  <c r="S38" i="1"/>
  <c r="T38" i="1"/>
  <c r="T41" i="1" s="1"/>
  <c r="U38" i="1"/>
  <c r="U41" i="1" s="1"/>
  <c r="V38" i="1"/>
  <c r="W38" i="1"/>
  <c r="W41" i="1" s="1"/>
  <c r="X38" i="1"/>
  <c r="X41" i="1" s="1"/>
  <c r="Y38" i="1"/>
  <c r="Z38" i="1"/>
  <c r="Z41" i="1" s="1"/>
  <c r="AA38" i="1"/>
  <c r="AA41" i="1" s="1"/>
  <c r="AB38" i="1"/>
  <c r="AC38" i="1"/>
  <c r="AD38" i="1"/>
  <c r="AE38" i="1"/>
  <c r="AF38" i="1"/>
  <c r="AG38" i="1"/>
  <c r="AH38" i="1"/>
  <c r="AI38" i="1"/>
  <c r="AJ38" i="1"/>
  <c r="AK38" i="1"/>
  <c r="AL38" i="1"/>
  <c r="AL41" i="1" s="1"/>
  <c r="C38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S37" i="1"/>
  <c r="T37" i="1"/>
  <c r="V37" i="1"/>
  <c r="W37" i="1"/>
  <c r="X37" i="1"/>
  <c r="Y37" i="1"/>
  <c r="Z37" i="1"/>
  <c r="AA37" i="1"/>
  <c r="AB37" i="1"/>
  <c r="AC37" i="1"/>
  <c r="AE37" i="1"/>
  <c r="AF37" i="1"/>
  <c r="AG37" i="1"/>
  <c r="AH37" i="1"/>
  <c r="AI37" i="1"/>
  <c r="AJ37" i="1"/>
  <c r="AK37" i="1"/>
  <c r="AL37" i="1"/>
  <c r="C37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K45" i="1"/>
  <c r="AL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K46" i="1"/>
  <c r="AL46" i="1"/>
  <c r="C46" i="1"/>
  <c r="C45" i="1"/>
  <c r="AK48" i="1"/>
  <c r="X48" i="1"/>
  <c r="AL9" i="1"/>
  <c r="AL47" i="1" s="1"/>
  <c r="AL10" i="1"/>
  <c r="AL48" i="1" s="1"/>
  <c r="AK10" i="1"/>
  <c r="AI10" i="1"/>
  <c r="AI48" i="1" s="1"/>
  <c r="AH10" i="1"/>
  <c r="AH48" i="1" s="1"/>
  <c r="AG10" i="1"/>
  <c r="AG48" i="1" s="1"/>
  <c r="AF10" i="1"/>
  <c r="AF48" i="1" s="1"/>
  <c r="AE10" i="1"/>
  <c r="AE48" i="1" s="1"/>
  <c r="AD10" i="1"/>
  <c r="AD48" i="1" s="1"/>
  <c r="AC10" i="1"/>
  <c r="AC48" i="1" s="1"/>
  <c r="AB10" i="1"/>
  <c r="AB48" i="1" s="1"/>
  <c r="AA10" i="1"/>
  <c r="AA48" i="1" s="1"/>
  <c r="Z10" i="1"/>
  <c r="Z48" i="1" s="1"/>
  <c r="Y10" i="1"/>
  <c r="Y48" i="1" s="1"/>
  <c r="X10" i="1"/>
  <c r="W10" i="1"/>
  <c r="W48" i="1" s="1"/>
  <c r="V10" i="1"/>
  <c r="V48" i="1" s="1"/>
  <c r="U10" i="1"/>
  <c r="U48" i="1" s="1"/>
  <c r="T10" i="1"/>
  <c r="T48" i="1" s="1"/>
  <c r="T12" i="1"/>
  <c r="S10" i="1"/>
  <c r="S48" i="1" s="1"/>
  <c r="R10" i="1"/>
  <c r="R48" i="1" s="1"/>
  <c r="Q10" i="1"/>
  <c r="Q48" i="1" s="1"/>
  <c r="P10" i="1"/>
  <c r="P48" i="1" s="1"/>
  <c r="O10" i="1"/>
  <c r="O48" i="1" s="1"/>
  <c r="N10" i="1"/>
  <c r="N48" i="1" s="1"/>
  <c r="M10" i="1"/>
  <c r="M48" i="1" s="1"/>
  <c r="L10" i="1"/>
  <c r="L48" i="1" s="1"/>
  <c r="K10" i="1"/>
  <c r="K48" i="1" s="1"/>
  <c r="J10" i="1"/>
  <c r="J48" i="1" s="1"/>
  <c r="I10" i="1"/>
  <c r="I48" i="1" s="1"/>
  <c r="H10" i="1"/>
  <c r="H48" i="1" s="1"/>
  <c r="G10" i="1"/>
  <c r="G48" i="1" s="1"/>
  <c r="F10" i="1"/>
  <c r="F48" i="1" s="1"/>
  <c r="E10" i="1"/>
  <c r="E48" i="1" s="1"/>
  <c r="D10" i="1"/>
  <c r="D48" i="1" s="1"/>
  <c r="C10" i="1"/>
  <c r="C48" i="1" s="1"/>
  <c r="F23" i="1"/>
  <c r="AD23" i="1"/>
  <c r="AD37" i="1" s="1"/>
  <c r="AA23" i="1"/>
  <c r="X23" i="1"/>
  <c r="U23" i="1"/>
  <c r="U25" i="1" s="1"/>
  <c r="R23" i="1"/>
  <c r="R37" i="1" s="1"/>
  <c r="O23" i="1"/>
  <c r="O25" i="1" s="1"/>
  <c r="AF44" i="1"/>
  <c r="AF43" i="1"/>
  <c r="AF42" i="1"/>
  <c r="AF41" i="1"/>
  <c r="AF36" i="1"/>
  <c r="AF35" i="1"/>
  <c r="AF34" i="1"/>
  <c r="AF33" i="1"/>
  <c r="AF12" i="1"/>
  <c r="AF9" i="1"/>
  <c r="AF47" i="1" s="1"/>
  <c r="AF25" i="1"/>
  <c r="AC44" i="1"/>
  <c r="AC43" i="1"/>
  <c r="AC42" i="1"/>
  <c r="AC41" i="1"/>
  <c r="AC36" i="1"/>
  <c r="AC35" i="1"/>
  <c r="AC34" i="1"/>
  <c r="AC33" i="1"/>
  <c r="AC12" i="1"/>
  <c r="AC9" i="1"/>
  <c r="AC47" i="1" s="1"/>
  <c r="AC25" i="1"/>
  <c r="AD44" i="1"/>
  <c r="AD43" i="1"/>
  <c r="AD42" i="1"/>
  <c r="AD36" i="1"/>
  <c r="AD35" i="1"/>
  <c r="AD34" i="1"/>
  <c r="AD33" i="1"/>
  <c r="AD12" i="1"/>
  <c r="AD9" i="1"/>
  <c r="AD47" i="1" s="1"/>
  <c r="Z44" i="1"/>
  <c r="Z43" i="1"/>
  <c r="Z42" i="1"/>
  <c r="Z36" i="1"/>
  <c r="Z35" i="1"/>
  <c r="Z34" i="1"/>
  <c r="Z33" i="1"/>
  <c r="Z12" i="1"/>
  <c r="Z9" i="1"/>
  <c r="Z47" i="1" s="1"/>
  <c r="Z25" i="1"/>
  <c r="AA44" i="1"/>
  <c r="AA43" i="1"/>
  <c r="AA42" i="1"/>
  <c r="AA36" i="1"/>
  <c r="AA35" i="1"/>
  <c r="AA34" i="1"/>
  <c r="AA33" i="1"/>
  <c r="AA12" i="1"/>
  <c r="AA9" i="1"/>
  <c r="AA47" i="1" s="1"/>
  <c r="AA25" i="1"/>
  <c r="W44" i="1"/>
  <c r="W43" i="1"/>
  <c r="W42" i="1"/>
  <c r="W36" i="1"/>
  <c r="W35" i="1"/>
  <c r="W34" i="1"/>
  <c r="W33" i="1"/>
  <c r="W12" i="1"/>
  <c r="W9" i="1"/>
  <c r="W47" i="1" s="1"/>
  <c r="W25" i="1"/>
  <c r="X44" i="1"/>
  <c r="X43" i="1"/>
  <c r="X42" i="1"/>
  <c r="X36" i="1"/>
  <c r="X35" i="1"/>
  <c r="X34" i="1"/>
  <c r="X33" i="1"/>
  <c r="X12" i="1"/>
  <c r="X9" i="1"/>
  <c r="X47" i="1" s="1"/>
  <c r="X25" i="1"/>
  <c r="T44" i="1"/>
  <c r="T43" i="1"/>
  <c r="T42" i="1"/>
  <c r="T36" i="1"/>
  <c r="T35" i="1"/>
  <c r="T34" i="1"/>
  <c r="T33" i="1"/>
  <c r="T9" i="1"/>
  <c r="T47" i="1" s="1"/>
  <c r="T25" i="1"/>
  <c r="U44" i="1"/>
  <c r="U43" i="1"/>
  <c r="U42" i="1"/>
  <c r="U36" i="1"/>
  <c r="U35" i="1"/>
  <c r="U34" i="1"/>
  <c r="U33" i="1"/>
  <c r="U12" i="1"/>
  <c r="U9" i="1"/>
  <c r="U47" i="1" s="1"/>
  <c r="Q44" i="1"/>
  <c r="Q43" i="1"/>
  <c r="Q42" i="1"/>
  <c r="Q36" i="1"/>
  <c r="Q35" i="1"/>
  <c r="Q34" i="1"/>
  <c r="Q33" i="1"/>
  <c r="Q12" i="1"/>
  <c r="Q9" i="1"/>
  <c r="Q47" i="1" s="1"/>
  <c r="Q25" i="1"/>
  <c r="R44" i="1"/>
  <c r="R43" i="1"/>
  <c r="R42" i="1"/>
  <c r="R36" i="1"/>
  <c r="R35" i="1"/>
  <c r="R34" i="1"/>
  <c r="R33" i="1"/>
  <c r="R12" i="1"/>
  <c r="R9" i="1"/>
  <c r="R47" i="1" s="1"/>
  <c r="R25" i="1"/>
  <c r="O44" i="1"/>
  <c r="O43" i="1"/>
  <c r="O42" i="1"/>
  <c r="O36" i="1"/>
  <c r="O35" i="1"/>
  <c r="O34" i="1"/>
  <c r="O33" i="1"/>
  <c r="O12" i="1"/>
  <c r="O9" i="1"/>
  <c r="O47" i="1" s="1"/>
  <c r="P44" i="1"/>
  <c r="P43" i="1"/>
  <c r="P42" i="1"/>
  <c r="P41" i="1"/>
  <c r="P36" i="1"/>
  <c r="P35" i="1"/>
  <c r="P34" i="1"/>
  <c r="P33" i="1"/>
  <c r="P12" i="1"/>
  <c r="P9" i="1"/>
  <c r="P47" i="1" s="1"/>
  <c r="P25" i="1"/>
  <c r="L44" i="1"/>
  <c r="L43" i="1"/>
  <c r="L42" i="1"/>
  <c r="L36" i="1"/>
  <c r="L35" i="1"/>
  <c r="L34" i="1"/>
  <c r="L33" i="1"/>
  <c r="L12" i="1"/>
  <c r="L9" i="1"/>
  <c r="L47" i="1" s="1"/>
  <c r="L25" i="1"/>
  <c r="M44" i="1"/>
  <c r="M43" i="1"/>
  <c r="M42" i="1"/>
  <c r="M36" i="1"/>
  <c r="M35" i="1"/>
  <c r="M34" i="1"/>
  <c r="M33" i="1"/>
  <c r="M12" i="1"/>
  <c r="M9" i="1"/>
  <c r="M47" i="1" s="1"/>
  <c r="M25" i="1"/>
  <c r="I44" i="1"/>
  <c r="I43" i="1"/>
  <c r="I42" i="1"/>
  <c r="I36" i="1"/>
  <c r="I35" i="1"/>
  <c r="I34" i="1"/>
  <c r="I33" i="1"/>
  <c r="I12" i="1"/>
  <c r="I9" i="1"/>
  <c r="I47" i="1" s="1"/>
  <c r="I25" i="1"/>
  <c r="J44" i="1"/>
  <c r="J43" i="1"/>
  <c r="J42" i="1"/>
  <c r="J36" i="1"/>
  <c r="J35" i="1"/>
  <c r="J34" i="1"/>
  <c r="J33" i="1"/>
  <c r="J12" i="1"/>
  <c r="J9" i="1"/>
  <c r="J47" i="1" s="1"/>
  <c r="J25" i="1"/>
  <c r="D44" i="1"/>
  <c r="D42" i="1"/>
  <c r="D41" i="1"/>
  <c r="D36" i="1"/>
  <c r="D35" i="1"/>
  <c r="D34" i="1"/>
  <c r="D33" i="1"/>
  <c r="D12" i="1"/>
  <c r="D9" i="1"/>
  <c r="D47" i="1" s="1"/>
  <c r="D25" i="1"/>
  <c r="E9" i="1"/>
  <c r="E47" i="1" s="1"/>
  <c r="F9" i="1"/>
  <c r="F47" i="1" s="1"/>
  <c r="G9" i="1"/>
  <c r="G47" i="1" s="1"/>
  <c r="E44" i="1"/>
  <c r="E43" i="1"/>
  <c r="E42" i="1"/>
  <c r="E41" i="1"/>
  <c r="E36" i="1"/>
  <c r="E35" i="1"/>
  <c r="E34" i="1"/>
  <c r="E33" i="1"/>
  <c r="E12" i="1"/>
  <c r="E25" i="1"/>
  <c r="G44" i="1"/>
  <c r="G43" i="1"/>
  <c r="G42" i="1"/>
  <c r="G41" i="1"/>
  <c r="G36" i="1"/>
  <c r="G35" i="1"/>
  <c r="G34" i="1"/>
  <c r="G33" i="1"/>
  <c r="G12" i="1"/>
  <c r="G25" i="1"/>
  <c r="AG44" i="1"/>
  <c r="AE44" i="1"/>
  <c r="AL44" i="1"/>
  <c r="AL43" i="1"/>
  <c r="AL42" i="1"/>
  <c r="AL36" i="1"/>
  <c r="AL35" i="1"/>
  <c r="AL34" i="1"/>
  <c r="AL33" i="1"/>
  <c r="AL12" i="1"/>
  <c r="AL25" i="1"/>
  <c r="H9" i="1"/>
  <c r="H47" i="1" s="1"/>
  <c r="K9" i="1"/>
  <c r="K47" i="1" s="1"/>
  <c r="N9" i="1"/>
  <c r="N47" i="1" s="1"/>
  <c r="S9" i="1"/>
  <c r="S47" i="1" s="1"/>
  <c r="V9" i="1"/>
  <c r="V47" i="1" s="1"/>
  <c r="Y9" i="1"/>
  <c r="Y47" i="1" s="1"/>
  <c r="AB9" i="1"/>
  <c r="AB47" i="1" s="1"/>
  <c r="AE9" i="1"/>
  <c r="AE47" i="1" s="1"/>
  <c r="AG9" i="1"/>
  <c r="AG47" i="1" s="1"/>
  <c r="AH9" i="1"/>
  <c r="AH47" i="1" s="1"/>
  <c r="AI9" i="1"/>
  <c r="AI47" i="1" s="1"/>
  <c r="AK9" i="1"/>
  <c r="AK47" i="1" s="1"/>
  <c r="C9" i="1"/>
  <c r="C47" i="1" s="1"/>
  <c r="U37" i="1" l="1"/>
  <c r="AD25" i="1"/>
  <c r="AD39" i="1"/>
  <c r="R40" i="1"/>
  <c r="O39" i="1"/>
  <c r="Q39" i="1"/>
  <c r="J40" i="1"/>
  <c r="I40" i="1"/>
  <c r="AF40" i="1"/>
  <c r="AF39" i="1"/>
  <c r="AC39" i="1"/>
  <c r="AC40" i="1"/>
  <c r="AD40" i="1"/>
  <c r="AD41" i="1"/>
  <c r="Z39" i="1"/>
  <c r="Z40" i="1"/>
  <c r="AA39" i="1"/>
  <c r="AA40" i="1"/>
  <c r="W39" i="1"/>
  <c r="W40" i="1"/>
  <c r="X39" i="1"/>
  <c r="X40" i="1"/>
  <c r="T39" i="1"/>
  <c r="T40" i="1"/>
  <c r="U39" i="1"/>
  <c r="U40" i="1"/>
  <c r="Q40" i="1"/>
  <c r="Q41" i="1"/>
  <c r="R39" i="1"/>
  <c r="R41" i="1"/>
  <c r="O40" i="1"/>
  <c r="O41" i="1"/>
  <c r="P39" i="1"/>
  <c r="P40" i="1"/>
  <c r="L39" i="1"/>
  <c r="L40" i="1"/>
  <c r="M39" i="1"/>
  <c r="M40" i="1"/>
  <c r="I39" i="1"/>
  <c r="I41" i="1"/>
  <c r="J41" i="1"/>
  <c r="J39" i="1"/>
  <c r="D39" i="1"/>
  <c r="D40" i="1"/>
  <c r="E39" i="1"/>
  <c r="E40" i="1"/>
  <c r="G39" i="1"/>
  <c r="G40" i="1"/>
  <c r="AL40" i="1"/>
  <c r="AL39" i="1"/>
  <c r="H42" i="1"/>
  <c r="H25" i="1"/>
  <c r="AI44" i="1" l="1"/>
  <c r="AJ44" i="1"/>
  <c r="AK44" i="1"/>
  <c r="AB44" i="1"/>
  <c r="N44" i="1"/>
  <c r="S44" i="1"/>
  <c r="H44" i="1"/>
  <c r="K44" i="1"/>
  <c r="V44" i="1"/>
  <c r="Y44" i="1"/>
  <c r="F44" i="1"/>
  <c r="C44" i="1"/>
  <c r="AH44" i="1"/>
  <c r="AI43" i="1"/>
  <c r="AJ43" i="1"/>
  <c r="AK43" i="1"/>
  <c r="AB43" i="1"/>
  <c r="AE43" i="1"/>
  <c r="N43" i="1"/>
  <c r="S43" i="1"/>
  <c r="H43" i="1"/>
  <c r="K43" i="1"/>
  <c r="V43" i="1"/>
  <c r="Y43" i="1"/>
  <c r="F43" i="1"/>
  <c r="AG43" i="1"/>
  <c r="AH43" i="1"/>
  <c r="AH33" i="1"/>
  <c r="AI42" i="1"/>
  <c r="AJ42" i="1"/>
  <c r="AK42" i="1"/>
  <c r="AB42" i="1"/>
  <c r="AE42" i="1"/>
  <c r="N42" i="1"/>
  <c r="S42" i="1"/>
  <c r="K42" i="1"/>
  <c r="V42" i="1"/>
  <c r="Y42" i="1"/>
  <c r="F42" i="1"/>
  <c r="C42" i="1"/>
  <c r="AG42" i="1"/>
  <c r="AH42" i="1"/>
  <c r="H41" i="1"/>
  <c r="V41" i="1"/>
  <c r="AH41" i="1"/>
  <c r="AG35" i="1"/>
  <c r="C35" i="1"/>
  <c r="F35" i="1"/>
  <c r="Y35" i="1"/>
  <c r="V35" i="1"/>
  <c r="K35" i="1"/>
  <c r="H35" i="1"/>
  <c r="S35" i="1"/>
  <c r="N35" i="1"/>
  <c r="AE35" i="1"/>
  <c r="AB35" i="1"/>
  <c r="AK35" i="1"/>
  <c r="AJ35" i="1"/>
  <c r="AI35" i="1"/>
  <c r="AH35" i="1"/>
  <c r="Y41" i="1"/>
  <c r="K39" i="1"/>
  <c r="S41" i="1"/>
  <c r="AK41" i="1"/>
  <c r="H39" i="1"/>
  <c r="AG36" i="1"/>
  <c r="C36" i="1"/>
  <c r="F36" i="1"/>
  <c r="Y36" i="1"/>
  <c r="V36" i="1"/>
  <c r="K36" i="1"/>
  <c r="H36" i="1"/>
  <c r="H40" i="1" s="1"/>
  <c r="S36" i="1"/>
  <c r="N36" i="1"/>
  <c r="AE36" i="1"/>
  <c r="AB36" i="1"/>
  <c r="AK36" i="1"/>
  <c r="AI36" i="1"/>
  <c r="AH36" i="1"/>
  <c r="AH40" i="1" s="1"/>
  <c r="AJ36" i="1"/>
  <c r="AG34" i="1"/>
  <c r="C34" i="1"/>
  <c r="F34" i="1"/>
  <c r="Y34" i="1"/>
  <c r="V34" i="1"/>
  <c r="K34" i="1"/>
  <c r="H34" i="1"/>
  <c r="S34" i="1"/>
  <c r="N34" i="1"/>
  <c r="AE34" i="1"/>
  <c r="AB34" i="1"/>
  <c r="AK34" i="1"/>
  <c r="AJ34" i="1"/>
  <c r="AI34" i="1"/>
  <c r="AH34" i="1"/>
  <c r="AG33" i="1"/>
  <c r="C33" i="1"/>
  <c r="F33" i="1"/>
  <c r="Y33" i="1"/>
  <c r="V33" i="1"/>
  <c r="K33" i="1"/>
  <c r="H33" i="1"/>
  <c r="S33" i="1"/>
  <c r="N33" i="1"/>
  <c r="AE33" i="1"/>
  <c r="AB33" i="1"/>
  <c r="AK33" i="1"/>
  <c r="AJ33" i="1"/>
  <c r="AI33" i="1"/>
  <c r="AG25" i="1"/>
  <c r="C25" i="1"/>
  <c r="F25" i="1"/>
  <c r="Y25" i="1"/>
  <c r="V25" i="1"/>
  <c r="K25" i="1"/>
  <c r="S25" i="1"/>
  <c r="N25" i="1"/>
  <c r="AE25" i="1"/>
  <c r="AB25" i="1"/>
  <c r="AK25" i="1"/>
  <c r="AJ25" i="1"/>
  <c r="AI25" i="1"/>
  <c r="AH25" i="1"/>
  <c r="C12" i="1"/>
  <c r="F12" i="1"/>
  <c r="Y12" i="1"/>
  <c r="K12" i="1"/>
  <c r="S12" i="1"/>
  <c r="N12" i="1"/>
  <c r="AE12" i="1"/>
  <c r="AB12" i="1"/>
  <c r="AK12" i="1"/>
  <c r="AJ12" i="1"/>
  <c r="AI12" i="1"/>
  <c r="AG12" i="1"/>
  <c r="AH12" i="1"/>
  <c r="H12" i="1"/>
  <c r="V12" i="1"/>
  <c r="N39" i="1" l="1"/>
  <c r="AE39" i="1"/>
  <c r="S40" i="1"/>
  <c r="AK39" i="1"/>
  <c r="AJ40" i="1"/>
  <c r="F40" i="1"/>
  <c r="AB40" i="1"/>
  <c r="C39" i="1"/>
  <c r="AG39" i="1"/>
  <c r="AJ41" i="1"/>
  <c r="AG41" i="1"/>
  <c r="F39" i="1"/>
  <c r="Y40" i="1"/>
  <c r="S39" i="1"/>
  <c r="AK40" i="1"/>
  <c r="Y39" i="1"/>
  <c r="AI40" i="1"/>
  <c r="V39" i="1"/>
  <c r="AB39" i="1"/>
  <c r="N41" i="1"/>
  <c r="AH39" i="1"/>
  <c r="AJ39" i="1"/>
  <c r="V40" i="1"/>
  <c r="K41" i="1"/>
  <c r="K40" i="1"/>
  <c r="AI39" i="1"/>
  <c r="AG40" i="1"/>
  <c r="N40" i="1"/>
  <c r="C41" i="1"/>
  <c r="C40" i="1"/>
  <c r="AE40" i="1"/>
  <c r="F41" i="1"/>
  <c r="AB41" i="1"/>
  <c r="AI41" i="1"/>
  <c r="AE41" i="1"/>
</calcChain>
</file>

<file path=xl/sharedStrings.xml><?xml version="1.0" encoding="utf-8"?>
<sst xmlns="http://schemas.openxmlformats.org/spreadsheetml/2006/main" count="170" uniqueCount="80">
  <si>
    <t>Model</t>
  </si>
  <si>
    <t>Engine</t>
  </si>
  <si>
    <t>RV-12iS</t>
  </si>
  <si>
    <t>RV-14</t>
  </si>
  <si>
    <t>Top Speed mph</t>
  </si>
  <si>
    <t>Stall mph</t>
  </si>
  <si>
    <t>TO Dist ft</t>
  </si>
  <si>
    <t>LD Dist ft</t>
  </si>
  <si>
    <t>ROC fpm</t>
  </si>
  <si>
    <t>Ceiling ft</t>
  </si>
  <si>
    <t>Wing Area sq ft</t>
  </si>
  <si>
    <t>Empty Weight lbs</t>
  </si>
  <si>
    <t>Gross Weight lbs</t>
  </si>
  <si>
    <t>Wing Load lb/sq ft</t>
  </si>
  <si>
    <t>Power Load lb/hp</t>
  </si>
  <si>
    <t>Fuel Capacity USG</t>
  </si>
  <si>
    <t>Cabin Width in</t>
  </si>
  <si>
    <t>Baggage lbs</t>
  </si>
  <si>
    <t>RV-14A</t>
  </si>
  <si>
    <t>RV-9</t>
  </si>
  <si>
    <t>RV-9A</t>
  </si>
  <si>
    <t>7,10</t>
  </si>
  <si>
    <t>Span ft,in</t>
  </si>
  <si>
    <t>Length ft,in</t>
  </si>
  <si>
    <t>Height ft,in</t>
  </si>
  <si>
    <t>26,9</t>
  </si>
  <si>
    <t>19,11</t>
  </si>
  <si>
    <t>8,4</t>
  </si>
  <si>
    <t>21,1</t>
  </si>
  <si>
    <t>5,11.75</t>
  </si>
  <si>
    <t>126,1</t>
  </si>
  <si>
    <t>8,2</t>
  </si>
  <si>
    <t>20,5</t>
  </si>
  <si>
    <t>RV-7</t>
  </si>
  <si>
    <t>20,4</t>
  </si>
  <si>
    <t>5,10</t>
  </si>
  <si>
    <t>RV-7A</t>
  </si>
  <si>
    <t>RV-6</t>
  </si>
  <si>
    <t>20,2</t>
  </si>
  <si>
    <t>5,3</t>
  </si>
  <si>
    <t>RV-6A</t>
  </si>
  <si>
    <t>19,9</t>
  </si>
  <si>
    <t>6,8</t>
  </si>
  <si>
    <t>RV-8</t>
  </si>
  <si>
    <t>5,7</t>
  </si>
  <si>
    <t>RV-8A</t>
  </si>
  <si>
    <t>20,10</t>
  </si>
  <si>
    <t>7,4</t>
  </si>
  <si>
    <t>RV-4</t>
  </si>
  <si>
    <t>5,5</t>
  </si>
  <si>
    <t>RV-3B</t>
  </si>
  <si>
    <t>Speed Ratio</t>
  </si>
  <si>
    <t>RV-10</t>
  </si>
  <si>
    <t>31,9</t>
  </si>
  <si>
    <t>24,5</t>
  </si>
  <si>
    <t>8,8</t>
  </si>
  <si>
    <t>Span m</t>
  </si>
  <si>
    <t>Length m</t>
  </si>
  <si>
    <t>Height m</t>
  </si>
  <si>
    <t>Wing Area m2</t>
  </si>
  <si>
    <t>Empty Weight kg</t>
  </si>
  <si>
    <t>Gross Weight kg</t>
  </si>
  <si>
    <t>Wing Load kg/m2</t>
  </si>
  <si>
    <t>Power Load hp/kg</t>
  </si>
  <si>
    <t>Fuel Capacity lt</t>
  </si>
  <si>
    <t>Baggage kg</t>
  </si>
  <si>
    <t>Cabin Width m</t>
  </si>
  <si>
    <t>Useful Load kg</t>
  </si>
  <si>
    <t>Useful Load lbs</t>
  </si>
  <si>
    <t>Cruise mph (75% @ 8K)</t>
  </si>
  <si>
    <t>Range sm (75% @ 8K)</t>
  </si>
  <si>
    <t>L/100km (@ 75%)</t>
  </si>
  <si>
    <t>MPG (@ 75%)</t>
  </si>
  <si>
    <t>L/100km (@ 55%)</t>
  </si>
  <si>
    <t>MPG (@ 55%)</t>
  </si>
  <si>
    <t>Range sm (55% @ 8K)</t>
  </si>
  <si>
    <t>Cruise mph (55% @ 8K)</t>
  </si>
  <si>
    <t>?</t>
  </si>
  <si>
    <t>Range km (75% @ 8K)</t>
  </si>
  <si>
    <t>Range km (55% @ 8K)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</si>
</sst>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A4F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F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94F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8E800"/>
        <bgColor indexed="64"/>
      </patternFill>
    </fill>
    <fill>
      <patternFill patternType="solid">
        <fgColor rgb="FF00A3E0"/>
        <bgColor indexed="64"/>
      </patternFill>
    </fill>
    <fill>
      <patternFill patternType="solid">
        <fgColor rgb="FF00B3F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10" borderId="4" xfId="0" applyFont="1" applyFill="1" applyBorder="1" applyAlignment="1">
      <alignment horizontal="center"/>
    </xf>
    <xf numFmtId="2" fontId="1" fillId="10" borderId="4" xfId="0" applyNumberFormat="1" applyFont="1" applyFill="1" applyBorder="1" applyAlignment="1">
      <alignment horizontal="center"/>
    </xf>
    <xf numFmtId="2" fontId="1" fillId="10" borderId="5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 applyBorder="1"/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1" fillId="10" borderId="7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0" fillId="8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6" xfId="0" applyFont="1" applyBorder="1"/>
    <xf numFmtId="0" fontId="2" fillId="0" borderId="12" xfId="0" applyFont="1" applyBorder="1"/>
    <xf numFmtId="0" fontId="2" fillId="0" borderId="15" xfId="0" applyFont="1" applyFill="1" applyBorder="1"/>
    <xf numFmtId="0" fontId="2" fillId="0" borderId="8" xfId="0" applyFont="1" applyBorder="1"/>
    <xf numFmtId="3" fontId="2" fillId="0" borderId="6" xfId="0" applyNumberFormat="1" applyFont="1" applyBorder="1"/>
    <xf numFmtId="3" fontId="1" fillId="10" borderId="4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2" fillId="0" borderId="12" xfId="0" applyNumberFormat="1" applyFont="1" applyBorder="1"/>
    <xf numFmtId="3" fontId="1" fillId="10" borderId="7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1" fontId="2" fillId="0" borderId="6" xfId="0" applyNumberFormat="1" applyFont="1" applyBorder="1"/>
    <xf numFmtId="1" fontId="1" fillId="10" borderId="4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164" fontId="2" fillId="0" borderId="6" xfId="0" applyNumberFormat="1" applyFont="1" applyBorder="1"/>
    <xf numFmtId="164" fontId="1" fillId="10" borderId="4" xfId="0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3" fontId="1" fillId="11" borderId="4" xfId="0" applyNumberFormat="1" applyFont="1" applyFill="1" applyBorder="1" applyAlignment="1">
      <alignment horizontal="center"/>
    </xf>
    <xf numFmtId="3" fontId="1" fillId="11" borderId="7" xfId="0" applyNumberFormat="1" applyFont="1" applyFill="1" applyBorder="1" applyAlignment="1">
      <alignment horizontal="center"/>
    </xf>
    <xf numFmtId="2" fontId="1" fillId="11" borderId="4" xfId="0" applyNumberFormat="1" applyFont="1" applyFill="1" applyBorder="1" applyAlignment="1">
      <alignment horizontal="center"/>
    </xf>
    <xf numFmtId="2" fontId="1" fillId="11" borderId="7" xfId="0" applyNumberFormat="1" applyFont="1" applyFill="1" applyBorder="1" applyAlignment="1">
      <alignment horizontal="center"/>
    </xf>
    <xf numFmtId="164" fontId="1" fillId="11" borderId="4" xfId="0" applyNumberFormat="1" applyFont="1" applyFill="1" applyBorder="1" applyAlignment="1">
      <alignment horizontal="center"/>
    </xf>
    <xf numFmtId="1" fontId="1" fillId="11" borderId="4" xfId="0" applyNumberFormat="1" applyFont="1" applyFill="1" applyBorder="1" applyAlignment="1">
      <alignment horizontal="center"/>
    </xf>
    <xf numFmtId="2" fontId="1" fillId="11" borderId="5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3" fillId="0" borderId="2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" xfId="0" applyFont="1" applyBorder="1"/>
    <xf numFmtId="2" fontId="1" fillId="10" borderId="16" xfId="0" applyNumberFormat="1" applyFont="1" applyFill="1" applyBorder="1" applyAlignment="1">
      <alignment horizontal="center"/>
    </xf>
    <xf numFmtId="2" fontId="1" fillId="11" borderId="16" xfId="0" applyNumberFormat="1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3" fontId="1" fillId="12" borderId="4" xfId="0" applyNumberFormat="1" applyFont="1" applyFill="1" applyBorder="1" applyAlignment="1">
      <alignment horizontal="center"/>
    </xf>
    <xf numFmtId="3" fontId="1" fillId="12" borderId="7" xfId="0" applyNumberFormat="1" applyFont="1" applyFill="1" applyBorder="1" applyAlignment="1">
      <alignment horizontal="center"/>
    </xf>
    <xf numFmtId="2" fontId="1" fillId="12" borderId="4" xfId="0" applyNumberFormat="1" applyFont="1" applyFill="1" applyBorder="1" applyAlignment="1">
      <alignment horizontal="center"/>
    </xf>
    <xf numFmtId="2" fontId="1" fillId="12" borderId="7" xfId="0" applyNumberFormat="1" applyFont="1" applyFill="1" applyBorder="1" applyAlignment="1">
      <alignment horizontal="center"/>
    </xf>
    <xf numFmtId="2" fontId="1" fillId="12" borderId="16" xfId="0" applyNumberFormat="1" applyFont="1" applyFill="1" applyBorder="1" applyAlignment="1">
      <alignment horizontal="center"/>
    </xf>
    <xf numFmtId="164" fontId="1" fillId="12" borderId="4" xfId="0" applyNumberFormat="1" applyFont="1" applyFill="1" applyBorder="1" applyAlignment="1">
      <alignment horizontal="center"/>
    </xf>
    <xf numFmtId="1" fontId="1" fillId="12" borderId="4" xfId="0" applyNumberFormat="1" applyFont="1" applyFill="1" applyBorder="1" applyAlignment="1">
      <alignment horizontal="center"/>
    </xf>
    <xf numFmtId="2" fontId="1" fillId="12" borderId="5" xfId="0" applyNumberFormat="1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3" fontId="1" fillId="13" borderId="4" xfId="0" applyNumberFormat="1" applyFont="1" applyFill="1" applyBorder="1" applyAlignment="1">
      <alignment horizontal="center"/>
    </xf>
    <xf numFmtId="3" fontId="1" fillId="13" borderId="7" xfId="0" applyNumberFormat="1" applyFont="1" applyFill="1" applyBorder="1" applyAlignment="1">
      <alignment horizontal="center"/>
    </xf>
    <xf numFmtId="2" fontId="1" fillId="13" borderId="4" xfId="0" applyNumberFormat="1" applyFont="1" applyFill="1" applyBorder="1" applyAlignment="1">
      <alignment horizontal="center"/>
    </xf>
    <xf numFmtId="2" fontId="1" fillId="13" borderId="7" xfId="0" applyNumberFormat="1" applyFont="1" applyFill="1" applyBorder="1" applyAlignment="1">
      <alignment horizontal="center"/>
    </xf>
    <xf numFmtId="2" fontId="1" fillId="13" borderId="16" xfId="0" applyNumberFormat="1" applyFont="1" applyFill="1" applyBorder="1" applyAlignment="1">
      <alignment horizontal="center"/>
    </xf>
    <xf numFmtId="164" fontId="1" fillId="13" borderId="4" xfId="0" applyNumberFormat="1" applyFont="1" applyFill="1" applyBorder="1" applyAlignment="1">
      <alignment horizontal="center"/>
    </xf>
    <xf numFmtId="1" fontId="1" fillId="13" borderId="4" xfId="0" applyNumberFormat="1" applyFont="1" applyFill="1" applyBorder="1" applyAlignment="1">
      <alignment horizontal="center"/>
    </xf>
    <xf numFmtId="2" fontId="1" fillId="13" borderId="5" xfId="0" applyNumberFormat="1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3" fontId="1" fillId="14" borderId="4" xfId="0" applyNumberFormat="1" applyFont="1" applyFill="1" applyBorder="1" applyAlignment="1">
      <alignment horizontal="center"/>
    </xf>
    <xf numFmtId="3" fontId="1" fillId="14" borderId="7" xfId="0" applyNumberFormat="1" applyFont="1" applyFill="1" applyBorder="1" applyAlignment="1">
      <alignment horizontal="center"/>
    </xf>
    <xf numFmtId="2" fontId="1" fillId="14" borderId="4" xfId="0" applyNumberFormat="1" applyFont="1" applyFill="1" applyBorder="1" applyAlignment="1">
      <alignment horizontal="center"/>
    </xf>
    <xf numFmtId="2" fontId="1" fillId="14" borderId="7" xfId="0" applyNumberFormat="1" applyFont="1" applyFill="1" applyBorder="1" applyAlignment="1">
      <alignment horizontal="center"/>
    </xf>
    <xf numFmtId="2" fontId="1" fillId="14" borderId="16" xfId="0" applyNumberFormat="1" applyFont="1" applyFill="1" applyBorder="1" applyAlignment="1">
      <alignment horizontal="center"/>
    </xf>
    <xf numFmtId="164" fontId="1" fillId="14" borderId="4" xfId="0" applyNumberFormat="1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2" fontId="1" fillId="14" borderId="5" xfId="0" applyNumberFormat="1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3" fontId="1" fillId="15" borderId="4" xfId="0" applyNumberFormat="1" applyFont="1" applyFill="1" applyBorder="1" applyAlignment="1">
      <alignment horizontal="center"/>
    </xf>
    <xf numFmtId="3" fontId="1" fillId="15" borderId="7" xfId="0" applyNumberFormat="1" applyFont="1" applyFill="1" applyBorder="1" applyAlignment="1">
      <alignment horizontal="center"/>
    </xf>
    <xf numFmtId="2" fontId="1" fillId="15" borderId="4" xfId="0" applyNumberFormat="1" applyFont="1" applyFill="1" applyBorder="1" applyAlignment="1">
      <alignment horizontal="center"/>
    </xf>
    <xf numFmtId="2" fontId="1" fillId="15" borderId="7" xfId="0" applyNumberFormat="1" applyFont="1" applyFill="1" applyBorder="1" applyAlignment="1">
      <alignment horizontal="center"/>
    </xf>
    <xf numFmtId="2" fontId="1" fillId="15" borderId="16" xfId="0" applyNumberFormat="1" applyFont="1" applyFill="1" applyBorder="1" applyAlignment="1">
      <alignment horizontal="center"/>
    </xf>
    <xf numFmtId="164" fontId="1" fillId="15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2" fontId="1" fillId="15" borderId="5" xfId="0" applyNumberFormat="1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3" fontId="1" fillId="16" borderId="4" xfId="0" applyNumberFormat="1" applyFont="1" applyFill="1" applyBorder="1" applyAlignment="1">
      <alignment horizontal="center"/>
    </xf>
    <xf numFmtId="3" fontId="1" fillId="16" borderId="7" xfId="0" applyNumberFormat="1" applyFont="1" applyFill="1" applyBorder="1" applyAlignment="1">
      <alignment horizontal="center"/>
    </xf>
    <xf numFmtId="2" fontId="1" fillId="16" borderId="4" xfId="0" applyNumberFormat="1" applyFont="1" applyFill="1" applyBorder="1" applyAlignment="1">
      <alignment horizontal="center"/>
    </xf>
    <xf numFmtId="2" fontId="1" fillId="16" borderId="7" xfId="0" applyNumberFormat="1" applyFont="1" applyFill="1" applyBorder="1" applyAlignment="1">
      <alignment horizontal="center"/>
    </xf>
    <xf numFmtId="2" fontId="1" fillId="16" borderId="16" xfId="0" applyNumberFormat="1" applyFont="1" applyFill="1" applyBorder="1" applyAlignment="1">
      <alignment horizontal="center"/>
    </xf>
    <xf numFmtId="164" fontId="1" fillId="16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2" fontId="1" fillId="16" borderId="5" xfId="0" applyNumberFormat="1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3" fontId="1" fillId="17" borderId="4" xfId="0" applyNumberFormat="1" applyFont="1" applyFill="1" applyBorder="1" applyAlignment="1">
      <alignment horizontal="center"/>
    </xf>
    <xf numFmtId="3" fontId="1" fillId="17" borderId="7" xfId="0" applyNumberFormat="1" applyFont="1" applyFill="1" applyBorder="1" applyAlignment="1">
      <alignment horizontal="center"/>
    </xf>
    <xf numFmtId="2" fontId="1" fillId="17" borderId="4" xfId="0" applyNumberFormat="1" applyFont="1" applyFill="1" applyBorder="1" applyAlignment="1">
      <alignment horizontal="center"/>
    </xf>
    <xf numFmtId="2" fontId="1" fillId="17" borderId="7" xfId="0" applyNumberFormat="1" applyFont="1" applyFill="1" applyBorder="1" applyAlignment="1">
      <alignment horizontal="center"/>
    </xf>
    <xf numFmtId="2" fontId="1" fillId="17" borderId="16" xfId="0" applyNumberFormat="1" applyFont="1" applyFill="1" applyBorder="1" applyAlignment="1">
      <alignment horizontal="center"/>
    </xf>
    <xf numFmtId="164" fontId="1" fillId="17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" fontId="1" fillId="17" borderId="5" xfId="0" applyNumberFormat="1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3" fontId="1" fillId="18" borderId="4" xfId="0" applyNumberFormat="1" applyFont="1" applyFill="1" applyBorder="1" applyAlignment="1">
      <alignment horizontal="center"/>
    </xf>
    <xf numFmtId="3" fontId="1" fillId="18" borderId="7" xfId="0" applyNumberFormat="1" applyFont="1" applyFill="1" applyBorder="1" applyAlignment="1">
      <alignment horizontal="center"/>
    </xf>
    <xf numFmtId="2" fontId="1" fillId="18" borderId="4" xfId="0" applyNumberFormat="1" applyFont="1" applyFill="1" applyBorder="1" applyAlignment="1">
      <alignment horizontal="center"/>
    </xf>
    <xf numFmtId="2" fontId="1" fillId="18" borderId="7" xfId="0" applyNumberFormat="1" applyFont="1" applyFill="1" applyBorder="1" applyAlignment="1">
      <alignment horizontal="center"/>
    </xf>
    <xf numFmtId="2" fontId="1" fillId="18" borderId="16" xfId="0" applyNumberFormat="1" applyFont="1" applyFill="1" applyBorder="1" applyAlignment="1">
      <alignment horizontal="center"/>
    </xf>
    <xf numFmtId="164" fontId="1" fillId="18" borderId="4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2" fontId="1" fillId="18" borderId="5" xfId="0" applyNumberFormat="1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3" fontId="1" fillId="19" borderId="4" xfId="0" applyNumberFormat="1" applyFont="1" applyFill="1" applyBorder="1" applyAlignment="1">
      <alignment horizontal="center"/>
    </xf>
    <xf numFmtId="3" fontId="1" fillId="19" borderId="7" xfId="0" applyNumberFormat="1" applyFont="1" applyFill="1" applyBorder="1" applyAlignment="1">
      <alignment horizontal="center"/>
    </xf>
    <xf numFmtId="2" fontId="1" fillId="19" borderId="4" xfId="0" applyNumberFormat="1" applyFont="1" applyFill="1" applyBorder="1" applyAlignment="1">
      <alignment horizontal="center"/>
    </xf>
    <xf numFmtId="2" fontId="1" fillId="19" borderId="7" xfId="0" applyNumberFormat="1" applyFont="1" applyFill="1" applyBorder="1" applyAlignment="1">
      <alignment horizontal="center"/>
    </xf>
    <xf numFmtId="2" fontId="1" fillId="19" borderId="16" xfId="0" applyNumberFormat="1" applyFont="1" applyFill="1" applyBorder="1" applyAlignment="1">
      <alignment horizontal="center"/>
    </xf>
    <xf numFmtId="164" fontId="1" fillId="19" borderId="4" xfId="0" applyNumberFormat="1" applyFont="1" applyFill="1" applyBorder="1" applyAlignment="1">
      <alignment horizontal="center"/>
    </xf>
    <xf numFmtId="1" fontId="1" fillId="19" borderId="4" xfId="0" applyNumberFormat="1" applyFont="1" applyFill="1" applyBorder="1" applyAlignment="1">
      <alignment horizontal="center"/>
    </xf>
    <xf numFmtId="2" fontId="1" fillId="19" borderId="5" xfId="0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4" xfId="0" applyFont="1" applyFill="1" applyBorder="1" applyAlignment="1">
      <alignment horizontal="center"/>
    </xf>
    <xf numFmtId="3" fontId="1" fillId="20" borderId="4" xfId="0" applyNumberFormat="1" applyFont="1" applyFill="1" applyBorder="1" applyAlignment="1">
      <alignment horizontal="center"/>
    </xf>
    <xf numFmtId="3" fontId="1" fillId="20" borderId="7" xfId="0" applyNumberFormat="1" applyFont="1" applyFill="1" applyBorder="1" applyAlignment="1">
      <alignment horizontal="center"/>
    </xf>
    <xf numFmtId="2" fontId="1" fillId="20" borderId="4" xfId="0" applyNumberFormat="1" applyFont="1" applyFill="1" applyBorder="1" applyAlignment="1">
      <alignment horizontal="center"/>
    </xf>
    <xf numFmtId="2" fontId="1" fillId="20" borderId="7" xfId="0" applyNumberFormat="1" applyFont="1" applyFill="1" applyBorder="1" applyAlignment="1">
      <alignment horizontal="center"/>
    </xf>
    <xf numFmtId="12" fontId="1" fillId="20" borderId="4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164" fontId="1" fillId="20" borderId="4" xfId="0" applyNumberFormat="1" applyFont="1" applyFill="1" applyBorder="1" applyAlignment="1">
      <alignment horizontal="center"/>
    </xf>
    <xf numFmtId="1" fontId="1" fillId="20" borderId="4" xfId="0" applyNumberFormat="1" applyFont="1" applyFill="1" applyBorder="1" applyAlignment="1">
      <alignment horizontal="center"/>
    </xf>
    <xf numFmtId="2" fontId="1" fillId="20" borderId="5" xfId="0" applyNumberFormat="1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21" borderId="4" xfId="0" applyFont="1" applyFill="1" applyBorder="1" applyAlignment="1">
      <alignment horizontal="center"/>
    </xf>
    <xf numFmtId="3" fontId="1" fillId="21" borderId="4" xfId="0" applyNumberFormat="1" applyFont="1" applyFill="1" applyBorder="1" applyAlignment="1">
      <alignment horizontal="center"/>
    </xf>
    <xf numFmtId="3" fontId="1" fillId="21" borderId="7" xfId="0" applyNumberFormat="1" applyFont="1" applyFill="1" applyBorder="1" applyAlignment="1">
      <alignment horizontal="center"/>
    </xf>
    <xf numFmtId="2" fontId="1" fillId="21" borderId="4" xfId="0" applyNumberFormat="1" applyFont="1" applyFill="1" applyBorder="1" applyAlignment="1">
      <alignment horizontal="center"/>
    </xf>
    <xf numFmtId="2" fontId="1" fillId="21" borderId="7" xfId="0" applyNumberFormat="1" applyFont="1" applyFill="1" applyBorder="1" applyAlignment="1">
      <alignment horizontal="center"/>
    </xf>
    <xf numFmtId="2" fontId="1" fillId="21" borderId="16" xfId="0" applyNumberFormat="1" applyFont="1" applyFill="1" applyBorder="1" applyAlignment="1">
      <alignment horizontal="center"/>
    </xf>
    <xf numFmtId="164" fontId="1" fillId="21" borderId="4" xfId="0" applyNumberFormat="1" applyFont="1" applyFill="1" applyBorder="1" applyAlignment="1">
      <alignment horizontal="center"/>
    </xf>
    <xf numFmtId="1" fontId="1" fillId="21" borderId="4" xfId="0" applyNumberFormat="1" applyFont="1" applyFill="1" applyBorder="1" applyAlignment="1">
      <alignment horizontal="center"/>
    </xf>
    <xf numFmtId="2" fontId="1" fillId="21" borderId="5" xfId="0" applyNumberFormat="1" applyFont="1" applyFill="1" applyBorder="1" applyAlignment="1">
      <alignment horizontal="center"/>
    </xf>
    <xf numFmtId="0" fontId="1" fillId="22" borderId="9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3" fontId="1" fillId="22" borderId="13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1" fillId="22" borderId="9" xfId="0" applyNumberFormat="1" applyFont="1" applyFill="1" applyBorder="1" applyAlignment="1">
      <alignment horizontal="center"/>
    </xf>
    <xf numFmtId="164" fontId="1" fillId="22" borderId="10" xfId="0" applyNumberFormat="1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0" fontId="1" fillId="23" borderId="4" xfId="0" applyFont="1" applyFill="1" applyBorder="1" applyAlignment="1">
      <alignment horizontal="center"/>
    </xf>
    <xf numFmtId="3" fontId="1" fillId="23" borderId="4" xfId="0" applyNumberFormat="1" applyFont="1" applyFill="1" applyBorder="1" applyAlignment="1">
      <alignment horizontal="center"/>
    </xf>
    <xf numFmtId="3" fontId="1" fillId="23" borderId="7" xfId="0" applyNumberFormat="1" applyFont="1" applyFill="1" applyBorder="1" applyAlignment="1">
      <alignment horizontal="center"/>
    </xf>
    <xf numFmtId="2" fontId="1" fillId="23" borderId="4" xfId="0" applyNumberFormat="1" applyFont="1" applyFill="1" applyBorder="1" applyAlignment="1">
      <alignment horizontal="center"/>
    </xf>
    <xf numFmtId="2" fontId="1" fillId="23" borderId="7" xfId="0" applyNumberFormat="1" applyFont="1" applyFill="1" applyBorder="1" applyAlignment="1">
      <alignment horizontal="center"/>
    </xf>
    <xf numFmtId="2" fontId="1" fillId="23" borderId="16" xfId="0" applyNumberFormat="1" applyFont="1" applyFill="1" applyBorder="1" applyAlignment="1">
      <alignment horizontal="center"/>
    </xf>
    <xf numFmtId="164" fontId="1" fillId="23" borderId="4" xfId="0" applyNumberFormat="1" applyFont="1" applyFill="1" applyBorder="1" applyAlignment="1">
      <alignment horizontal="center"/>
    </xf>
    <xf numFmtId="1" fontId="1" fillId="23" borderId="4" xfId="0" applyNumberFormat="1" applyFont="1" applyFill="1" applyBorder="1" applyAlignment="1">
      <alignment horizontal="center"/>
    </xf>
    <xf numFmtId="2" fontId="1" fillId="23" borderId="5" xfId="0" applyNumberFormat="1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1" fillId="22" borderId="4" xfId="0" applyFont="1" applyFill="1" applyBorder="1" applyAlignment="1">
      <alignment horizontal="center"/>
    </xf>
    <xf numFmtId="3" fontId="1" fillId="22" borderId="4" xfId="0" applyNumberFormat="1" applyFont="1" applyFill="1" applyBorder="1" applyAlignment="1">
      <alignment horizontal="center"/>
    </xf>
    <xf numFmtId="3" fontId="1" fillId="22" borderId="7" xfId="0" applyNumberFormat="1" applyFont="1" applyFill="1" applyBorder="1" applyAlignment="1">
      <alignment horizontal="center"/>
    </xf>
    <xf numFmtId="2" fontId="1" fillId="22" borderId="4" xfId="0" applyNumberFormat="1" applyFont="1" applyFill="1" applyBorder="1" applyAlignment="1">
      <alignment horizontal="center"/>
    </xf>
    <xf numFmtId="2" fontId="1" fillId="22" borderId="7" xfId="0" applyNumberFormat="1" applyFon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164" fontId="1" fillId="22" borderId="4" xfId="0" applyNumberFormat="1" applyFont="1" applyFill="1" applyBorder="1" applyAlignment="1">
      <alignment horizontal="center"/>
    </xf>
    <xf numFmtId="1" fontId="1" fillId="22" borderId="4" xfId="0" applyNumberFormat="1" applyFont="1" applyFill="1" applyBorder="1" applyAlignment="1">
      <alignment horizontal="center"/>
    </xf>
    <xf numFmtId="2" fontId="1" fillId="22" borderId="5" xfId="0" applyNumberFormat="1" applyFont="1" applyFill="1" applyBorder="1" applyAlignment="1">
      <alignment horizontal="center"/>
    </xf>
    <xf numFmtId="0" fontId="1" fillId="2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3F7"/>
      <color rgb="FF00A3E0"/>
      <color rgb="FF00A9E9"/>
      <color rgb="FFE8E800"/>
      <color rgb="FFFF94F9"/>
      <color rgb="FFFFB7FF"/>
      <color rgb="FFC6F8FF"/>
      <color rgb="FFA4F9FF"/>
      <color rgb="FF6CF1FF"/>
      <color rgb="FF73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1"/>
  <sheetViews>
    <sheetView showGridLines="0" tabSelected="1" zoomScale="102" zoomScaleNormal="102" workbookViewId="0">
      <selection activeCell="O58" sqref="O58"/>
    </sheetView>
  </sheetViews>
  <sheetFormatPr baseColWidth="10" defaultRowHeight="19" x14ac:dyDescent="0.25"/>
  <cols>
    <col min="1" max="1" width="2.6640625" style="18" customWidth="1"/>
    <col min="2" max="2" width="24.83203125" style="16" customWidth="1"/>
    <col min="3" max="4" width="10.83203125" style="20"/>
    <col min="5" max="7" width="10.83203125" style="21"/>
    <col min="8" max="13" width="10.83203125" style="4"/>
    <col min="14" max="19" width="10.83203125" style="6"/>
    <col min="20" max="25" width="10.83203125" style="7"/>
    <col min="26" max="28" width="10.6640625" style="8" customWidth="1"/>
    <col min="29" max="31" width="10.83203125" style="8"/>
    <col min="32" max="33" width="10.83203125" style="22"/>
    <col min="34" max="34" width="10.83203125" style="23"/>
    <col min="35" max="35" width="11" style="23" customWidth="1"/>
    <col min="36" max="36" width="10.83203125" style="24"/>
    <col min="37" max="37" width="10.6640625" style="24" customWidth="1"/>
    <col min="38" max="38" width="10.83203125" style="24"/>
    <col min="39" max="16384" width="10.83203125" style="18"/>
  </cols>
  <sheetData>
    <row r="1" spans="1:38" s="13" customFormat="1" ht="20" thickBot="1" x14ac:dyDescent="0.3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25" customFormat="1" ht="21" x14ac:dyDescent="0.25">
      <c r="B2" s="50" t="s">
        <v>0</v>
      </c>
      <c r="C2" s="54" t="s">
        <v>50</v>
      </c>
      <c r="D2" s="55"/>
      <c r="E2" s="54" t="s">
        <v>48</v>
      </c>
      <c r="F2" s="55"/>
      <c r="G2" s="55"/>
      <c r="H2" s="54" t="s">
        <v>37</v>
      </c>
      <c r="I2" s="55"/>
      <c r="J2" s="55"/>
      <c r="K2" s="54" t="s">
        <v>40</v>
      </c>
      <c r="L2" s="55"/>
      <c r="M2" s="55"/>
      <c r="N2" s="54" t="s">
        <v>33</v>
      </c>
      <c r="O2" s="55"/>
      <c r="P2" s="55"/>
      <c r="Q2" s="54" t="s">
        <v>36</v>
      </c>
      <c r="R2" s="55"/>
      <c r="S2" s="55"/>
      <c r="T2" s="54" t="s">
        <v>43</v>
      </c>
      <c r="U2" s="55"/>
      <c r="V2" s="55"/>
      <c r="W2" s="54" t="s">
        <v>45</v>
      </c>
      <c r="X2" s="55"/>
      <c r="Y2" s="55"/>
      <c r="Z2" s="54" t="s">
        <v>19</v>
      </c>
      <c r="AA2" s="55"/>
      <c r="AB2" s="55"/>
      <c r="AC2" s="54" t="s">
        <v>20</v>
      </c>
      <c r="AD2" s="55"/>
      <c r="AE2" s="55"/>
      <c r="AF2" s="54" t="s">
        <v>52</v>
      </c>
      <c r="AG2" s="55"/>
      <c r="AH2" s="54" t="s">
        <v>2</v>
      </c>
      <c r="AI2" s="55"/>
      <c r="AJ2" s="54" t="s">
        <v>3</v>
      </c>
      <c r="AK2" s="54" t="s">
        <v>18</v>
      </c>
      <c r="AL2" s="56"/>
    </row>
    <row r="3" spans="1:38" s="5" customFormat="1" x14ac:dyDescent="0.25">
      <c r="B3" s="27" t="s">
        <v>1</v>
      </c>
      <c r="C3" s="91">
        <v>125</v>
      </c>
      <c r="D3" s="91">
        <v>150</v>
      </c>
      <c r="E3" s="52">
        <v>150</v>
      </c>
      <c r="F3" s="52">
        <v>160</v>
      </c>
      <c r="G3" s="52">
        <v>180</v>
      </c>
      <c r="H3" s="81">
        <v>150</v>
      </c>
      <c r="I3" s="81">
        <v>160</v>
      </c>
      <c r="J3" s="81">
        <v>180</v>
      </c>
      <c r="K3" s="53">
        <v>150</v>
      </c>
      <c r="L3" s="53">
        <v>160</v>
      </c>
      <c r="M3" s="53">
        <v>180</v>
      </c>
      <c r="N3" s="71">
        <v>160</v>
      </c>
      <c r="O3" s="71">
        <v>180</v>
      </c>
      <c r="P3" s="71">
        <v>200</v>
      </c>
      <c r="Q3" s="61">
        <v>160</v>
      </c>
      <c r="R3" s="61">
        <v>180</v>
      </c>
      <c r="S3" s="61">
        <v>200</v>
      </c>
      <c r="T3" s="101">
        <v>160</v>
      </c>
      <c r="U3" s="101">
        <v>180</v>
      </c>
      <c r="V3" s="101">
        <v>200</v>
      </c>
      <c r="W3" s="111">
        <v>160</v>
      </c>
      <c r="X3" s="111">
        <v>180</v>
      </c>
      <c r="Y3" s="111">
        <v>200</v>
      </c>
      <c r="Z3" s="121">
        <v>118</v>
      </c>
      <c r="AA3" s="121">
        <v>135</v>
      </c>
      <c r="AB3" s="121">
        <v>160</v>
      </c>
      <c r="AC3" s="131">
        <v>118</v>
      </c>
      <c r="AD3" s="131">
        <v>135</v>
      </c>
      <c r="AE3" s="131">
        <v>160</v>
      </c>
      <c r="AF3" s="141">
        <v>235</v>
      </c>
      <c r="AG3" s="141">
        <v>260</v>
      </c>
      <c r="AH3" s="152">
        <v>100</v>
      </c>
      <c r="AI3" s="152">
        <v>100</v>
      </c>
      <c r="AJ3" s="172">
        <v>200</v>
      </c>
      <c r="AK3" s="182">
        <v>210</v>
      </c>
      <c r="AL3" s="162">
        <v>215</v>
      </c>
    </row>
    <row r="4" spans="1:38" s="5" customFormat="1" x14ac:dyDescent="0.25">
      <c r="B4" s="27" t="s">
        <v>4</v>
      </c>
      <c r="C4" s="92">
        <v>195</v>
      </c>
      <c r="D4" s="92">
        <v>207</v>
      </c>
      <c r="E4" s="1">
        <v>200</v>
      </c>
      <c r="F4" s="1">
        <v>204</v>
      </c>
      <c r="G4" s="1">
        <v>212</v>
      </c>
      <c r="H4" s="82">
        <v>197</v>
      </c>
      <c r="I4" s="82">
        <v>201</v>
      </c>
      <c r="J4" s="82">
        <v>209</v>
      </c>
      <c r="K4" s="42">
        <v>195</v>
      </c>
      <c r="L4" s="42">
        <v>199</v>
      </c>
      <c r="M4" s="42">
        <v>207</v>
      </c>
      <c r="N4" s="72">
        <v>201</v>
      </c>
      <c r="O4" s="72">
        <v>209</v>
      </c>
      <c r="P4" s="72">
        <v>216</v>
      </c>
      <c r="Q4" s="62">
        <v>199</v>
      </c>
      <c r="R4" s="62">
        <v>207</v>
      </c>
      <c r="S4" s="62">
        <v>213</v>
      </c>
      <c r="T4" s="102">
        <v>205</v>
      </c>
      <c r="U4" s="102">
        <v>213</v>
      </c>
      <c r="V4" s="102">
        <v>221</v>
      </c>
      <c r="W4" s="112">
        <v>203</v>
      </c>
      <c r="X4" s="112">
        <v>211</v>
      </c>
      <c r="Y4" s="112">
        <v>219</v>
      </c>
      <c r="Z4" s="122">
        <v>172</v>
      </c>
      <c r="AA4" s="122">
        <v>178</v>
      </c>
      <c r="AB4" s="122">
        <v>196</v>
      </c>
      <c r="AC4" s="132">
        <v>170</v>
      </c>
      <c r="AD4" s="132">
        <v>176</v>
      </c>
      <c r="AE4" s="132">
        <v>194</v>
      </c>
      <c r="AF4" s="142">
        <v>201</v>
      </c>
      <c r="AG4" s="142">
        <v>208</v>
      </c>
      <c r="AH4" s="153">
        <v>144</v>
      </c>
      <c r="AI4" s="153">
        <v>139</v>
      </c>
      <c r="AJ4" s="173">
        <v>205</v>
      </c>
      <c r="AK4" s="183">
        <v>203</v>
      </c>
      <c r="AL4" s="163">
        <v>216</v>
      </c>
    </row>
    <row r="5" spans="1:38" s="5" customFormat="1" x14ac:dyDescent="0.25">
      <c r="B5" s="27" t="s">
        <v>69</v>
      </c>
      <c r="C5" s="92">
        <v>185</v>
      </c>
      <c r="D5" s="92">
        <v>196</v>
      </c>
      <c r="E5" s="1">
        <v>188</v>
      </c>
      <c r="F5" s="1">
        <v>192</v>
      </c>
      <c r="G5" s="1">
        <v>200</v>
      </c>
      <c r="H5" s="82">
        <v>186</v>
      </c>
      <c r="I5" s="82">
        <v>190</v>
      </c>
      <c r="J5" s="82">
        <v>198</v>
      </c>
      <c r="K5" s="42">
        <v>184</v>
      </c>
      <c r="L5" s="42">
        <v>188</v>
      </c>
      <c r="M5" s="42">
        <v>196</v>
      </c>
      <c r="N5" s="72">
        <v>191</v>
      </c>
      <c r="O5" s="72">
        <v>199</v>
      </c>
      <c r="P5" s="72">
        <v>206</v>
      </c>
      <c r="Q5" s="62">
        <v>189</v>
      </c>
      <c r="R5" s="62">
        <v>197</v>
      </c>
      <c r="S5" s="62">
        <v>204</v>
      </c>
      <c r="T5" s="102">
        <v>195</v>
      </c>
      <c r="U5" s="102">
        <v>203</v>
      </c>
      <c r="V5" s="102">
        <v>210</v>
      </c>
      <c r="W5" s="112">
        <v>193</v>
      </c>
      <c r="X5" s="112">
        <v>201</v>
      </c>
      <c r="Y5" s="112">
        <v>208</v>
      </c>
      <c r="Z5" s="122">
        <v>166</v>
      </c>
      <c r="AA5" s="122">
        <v>174</v>
      </c>
      <c r="AB5" s="122">
        <v>188</v>
      </c>
      <c r="AC5" s="132">
        <v>164</v>
      </c>
      <c r="AD5" s="132">
        <v>172</v>
      </c>
      <c r="AE5" s="132">
        <v>186</v>
      </c>
      <c r="AF5" s="142">
        <v>190</v>
      </c>
      <c r="AG5" s="142">
        <v>197</v>
      </c>
      <c r="AH5" s="153">
        <v>135</v>
      </c>
      <c r="AI5" s="153">
        <v>136</v>
      </c>
      <c r="AJ5" s="173">
        <v>195</v>
      </c>
      <c r="AK5" s="183">
        <v>193</v>
      </c>
      <c r="AL5" s="163">
        <v>203</v>
      </c>
    </row>
    <row r="6" spans="1:38" s="5" customFormat="1" x14ac:dyDescent="0.25">
      <c r="B6" s="27" t="s">
        <v>76</v>
      </c>
      <c r="C6" s="92">
        <v>166</v>
      </c>
      <c r="D6" s="92">
        <v>176</v>
      </c>
      <c r="E6" s="1">
        <v>170</v>
      </c>
      <c r="F6" s="1">
        <v>173</v>
      </c>
      <c r="G6" s="1">
        <v>180</v>
      </c>
      <c r="H6" s="82">
        <v>168</v>
      </c>
      <c r="I6" s="82">
        <v>171</v>
      </c>
      <c r="J6" s="82">
        <v>178</v>
      </c>
      <c r="K6" s="42">
        <v>166</v>
      </c>
      <c r="L6" s="42">
        <v>169</v>
      </c>
      <c r="M6" s="42">
        <v>176</v>
      </c>
      <c r="N6" s="72">
        <v>172</v>
      </c>
      <c r="O6" s="72">
        <v>179</v>
      </c>
      <c r="P6" s="72">
        <v>186</v>
      </c>
      <c r="Q6" s="62">
        <v>170</v>
      </c>
      <c r="R6" s="62">
        <v>177</v>
      </c>
      <c r="S6" s="62">
        <v>183</v>
      </c>
      <c r="T6" s="102">
        <v>173</v>
      </c>
      <c r="U6" s="102">
        <v>180</v>
      </c>
      <c r="V6" s="102">
        <v>187</v>
      </c>
      <c r="W6" s="112">
        <v>171</v>
      </c>
      <c r="X6" s="112">
        <v>178</v>
      </c>
      <c r="Y6" s="112">
        <v>184</v>
      </c>
      <c r="Z6" s="122">
        <v>150</v>
      </c>
      <c r="AA6" s="122">
        <v>157</v>
      </c>
      <c r="AB6" s="122">
        <v>168</v>
      </c>
      <c r="AC6" s="132">
        <v>148</v>
      </c>
      <c r="AD6" s="132">
        <v>155</v>
      </c>
      <c r="AE6" s="132">
        <v>166</v>
      </c>
      <c r="AF6" s="142">
        <v>170</v>
      </c>
      <c r="AG6" s="142">
        <v>176</v>
      </c>
      <c r="AH6" s="153">
        <v>121</v>
      </c>
      <c r="AI6" s="153">
        <v>120</v>
      </c>
      <c r="AJ6" s="173">
        <v>171</v>
      </c>
      <c r="AK6" s="183">
        <v>169</v>
      </c>
      <c r="AL6" s="163">
        <v>179</v>
      </c>
    </row>
    <row r="7" spans="1:38" s="33" customFormat="1" x14ac:dyDescent="0.25">
      <c r="B7" s="31" t="s">
        <v>70</v>
      </c>
      <c r="C7" s="93">
        <v>640</v>
      </c>
      <c r="D7" s="93">
        <v>595</v>
      </c>
      <c r="E7" s="32">
        <v>640</v>
      </c>
      <c r="F7" s="32">
        <v>640</v>
      </c>
      <c r="G7" s="32">
        <v>590</v>
      </c>
      <c r="H7" s="83">
        <v>775</v>
      </c>
      <c r="I7" s="83">
        <v>775</v>
      </c>
      <c r="J7" s="83">
        <v>720</v>
      </c>
      <c r="K7" s="43">
        <v>760</v>
      </c>
      <c r="L7" s="43">
        <v>760</v>
      </c>
      <c r="M7" s="43">
        <v>705</v>
      </c>
      <c r="N7" s="73">
        <v>835</v>
      </c>
      <c r="O7" s="73">
        <v>775</v>
      </c>
      <c r="P7" s="73">
        <v>765</v>
      </c>
      <c r="Q7" s="63">
        <v>825</v>
      </c>
      <c r="R7" s="63">
        <v>765</v>
      </c>
      <c r="S7" s="63">
        <v>755</v>
      </c>
      <c r="T7" s="103">
        <v>855</v>
      </c>
      <c r="U7" s="103">
        <v>790</v>
      </c>
      <c r="V7" s="103">
        <v>780</v>
      </c>
      <c r="W7" s="113">
        <v>845</v>
      </c>
      <c r="X7" s="113">
        <v>780</v>
      </c>
      <c r="Y7" s="113">
        <v>770</v>
      </c>
      <c r="Z7" s="123">
        <v>875</v>
      </c>
      <c r="AA7" s="123">
        <v>745</v>
      </c>
      <c r="AB7" s="123">
        <v>710</v>
      </c>
      <c r="AC7" s="133">
        <v>865</v>
      </c>
      <c r="AD7" s="133">
        <v>735</v>
      </c>
      <c r="AE7" s="133">
        <v>700</v>
      </c>
      <c r="AF7" s="143">
        <v>883</v>
      </c>
      <c r="AG7" s="143">
        <v>825</v>
      </c>
      <c r="AH7" s="154">
        <v>581</v>
      </c>
      <c r="AI7" s="154">
        <v>555</v>
      </c>
      <c r="AJ7" s="174" t="s">
        <v>77</v>
      </c>
      <c r="AK7" s="184">
        <v>814</v>
      </c>
      <c r="AL7" s="164">
        <v>911</v>
      </c>
    </row>
    <row r="8" spans="1:38" s="33" customFormat="1" x14ac:dyDescent="0.25">
      <c r="B8" s="34" t="s">
        <v>75</v>
      </c>
      <c r="C8" s="94">
        <v>770</v>
      </c>
      <c r="D8" s="94">
        <v>715</v>
      </c>
      <c r="E8" s="35">
        <v>790</v>
      </c>
      <c r="F8" s="35">
        <v>790</v>
      </c>
      <c r="G8" s="35">
        <v>725</v>
      </c>
      <c r="H8" s="84">
        <v>950</v>
      </c>
      <c r="I8" s="84">
        <v>950</v>
      </c>
      <c r="J8" s="84">
        <v>880</v>
      </c>
      <c r="K8" s="44">
        <v>930</v>
      </c>
      <c r="L8" s="44">
        <v>930</v>
      </c>
      <c r="M8" s="44">
        <v>860</v>
      </c>
      <c r="N8" s="74">
        <v>1025</v>
      </c>
      <c r="O8" s="74">
        <v>950</v>
      </c>
      <c r="P8" s="74">
        <v>935</v>
      </c>
      <c r="Q8" s="64">
        <v>1015</v>
      </c>
      <c r="R8" s="64">
        <v>940</v>
      </c>
      <c r="S8" s="64">
        <v>925</v>
      </c>
      <c r="T8" s="104">
        <v>1030</v>
      </c>
      <c r="U8" s="104">
        <v>955</v>
      </c>
      <c r="V8" s="104">
        <v>940</v>
      </c>
      <c r="W8" s="114">
        <v>1020</v>
      </c>
      <c r="X8" s="114">
        <v>945</v>
      </c>
      <c r="Y8" s="114">
        <v>930</v>
      </c>
      <c r="Z8" s="124">
        <v>1035</v>
      </c>
      <c r="AA8" s="124">
        <v>910</v>
      </c>
      <c r="AB8" s="124">
        <v>860</v>
      </c>
      <c r="AC8" s="134">
        <v>1025</v>
      </c>
      <c r="AD8" s="134">
        <v>900</v>
      </c>
      <c r="AE8" s="134">
        <v>850</v>
      </c>
      <c r="AF8" s="144">
        <v>1070</v>
      </c>
      <c r="AG8" s="144">
        <v>1000</v>
      </c>
      <c r="AH8" s="155">
        <v>660</v>
      </c>
      <c r="AI8" s="155">
        <v>614</v>
      </c>
      <c r="AJ8" s="175" t="s">
        <v>77</v>
      </c>
      <c r="AK8" s="185">
        <v>1020</v>
      </c>
      <c r="AL8" s="165">
        <v>1033</v>
      </c>
    </row>
    <row r="9" spans="1:38" s="5" customFormat="1" x14ac:dyDescent="0.25">
      <c r="B9" s="27" t="s">
        <v>72</v>
      </c>
      <c r="C9" s="95">
        <f t="shared" ref="C9:AI9" si="0">C7/C28</f>
        <v>21.333333333333332</v>
      </c>
      <c r="D9" s="95">
        <f t="shared" si="0"/>
        <v>19.833333333333332</v>
      </c>
      <c r="E9" s="2">
        <f t="shared" si="0"/>
        <v>20</v>
      </c>
      <c r="F9" s="2">
        <f t="shared" si="0"/>
        <v>20</v>
      </c>
      <c r="G9" s="2">
        <f t="shared" si="0"/>
        <v>18.4375</v>
      </c>
      <c r="H9" s="85">
        <f t="shared" si="0"/>
        <v>20.394736842105264</v>
      </c>
      <c r="I9" s="85">
        <f t="shared" si="0"/>
        <v>20.394736842105264</v>
      </c>
      <c r="J9" s="85">
        <f t="shared" si="0"/>
        <v>18.94736842105263</v>
      </c>
      <c r="K9" s="45">
        <f t="shared" si="0"/>
        <v>20</v>
      </c>
      <c r="L9" s="45">
        <f t="shared" si="0"/>
        <v>20</v>
      </c>
      <c r="M9" s="45">
        <f t="shared" si="0"/>
        <v>18.55263157894737</v>
      </c>
      <c r="N9" s="75">
        <f t="shared" si="0"/>
        <v>19.88095238095238</v>
      </c>
      <c r="O9" s="75">
        <f t="shared" si="0"/>
        <v>18.452380952380953</v>
      </c>
      <c r="P9" s="75">
        <f t="shared" si="0"/>
        <v>18.214285714285715</v>
      </c>
      <c r="Q9" s="65">
        <f t="shared" si="0"/>
        <v>19.642857142857142</v>
      </c>
      <c r="R9" s="65">
        <f t="shared" si="0"/>
        <v>18.214285714285715</v>
      </c>
      <c r="S9" s="65">
        <f t="shared" si="0"/>
        <v>17.976190476190474</v>
      </c>
      <c r="T9" s="105">
        <f t="shared" si="0"/>
        <v>20.357142857142858</v>
      </c>
      <c r="U9" s="105">
        <f t="shared" si="0"/>
        <v>18.80952380952381</v>
      </c>
      <c r="V9" s="105">
        <f t="shared" si="0"/>
        <v>18.571428571428573</v>
      </c>
      <c r="W9" s="115">
        <f t="shared" si="0"/>
        <v>20.11904761904762</v>
      </c>
      <c r="X9" s="115">
        <f t="shared" si="0"/>
        <v>18.571428571428573</v>
      </c>
      <c r="Y9" s="115">
        <f t="shared" si="0"/>
        <v>18.333333333333332</v>
      </c>
      <c r="Z9" s="125">
        <f t="shared" si="0"/>
        <v>24.305555555555557</v>
      </c>
      <c r="AA9" s="125">
        <f t="shared" si="0"/>
        <v>20.694444444444443</v>
      </c>
      <c r="AB9" s="125">
        <f t="shared" si="0"/>
        <v>19.722222222222221</v>
      </c>
      <c r="AC9" s="135">
        <f t="shared" si="0"/>
        <v>24.027777777777779</v>
      </c>
      <c r="AD9" s="135">
        <f t="shared" si="0"/>
        <v>20.416666666666668</v>
      </c>
      <c r="AE9" s="135">
        <f t="shared" si="0"/>
        <v>19.444444444444443</v>
      </c>
      <c r="AF9" s="145">
        <f t="shared" si="0"/>
        <v>14.716666666666667</v>
      </c>
      <c r="AG9" s="145">
        <f t="shared" si="0"/>
        <v>13.75</v>
      </c>
      <c r="AH9" s="156">
        <f t="shared" si="0"/>
        <v>29.05</v>
      </c>
      <c r="AI9" s="156">
        <f t="shared" si="0"/>
        <v>27.75</v>
      </c>
      <c r="AJ9" s="176" t="s">
        <v>77</v>
      </c>
      <c r="AK9" s="186">
        <f>AK7/AK28</f>
        <v>16.28</v>
      </c>
      <c r="AL9" s="166">
        <f>AL7/AL28</f>
        <v>18.22</v>
      </c>
    </row>
    <row r="10" spans="1:38" s="5" customFormat="1" x14ac:dyDescent="0.25">
      <c r="A10" s="17"/>
      <c r="B10" s="27" t="s">
        <v>74</v>
      </c>
      <c r="C10" s="95">
        <f t="shared" ref="C10:AI10" si="1">C8/C28</f>
        <v>25.666666666666668</v>
      </c>
      <c r="D10" s="95">
        <f t="shared" si="1"/>
        <v>23.833333333333332</v>
      </c>
      <c r="E10" s="2">
        <f t="shared" si="1"/>
        <v>24.6875</v>
      </c>
      <c r="F10" s="2">
        <f t="shared" si="1"/>
        <v>24.6875</v>
      </c>
      <c r="G10" s="2">
        <f t="shared" si="1"/>
        <v>22.65625</v>
      </c>
      <c r="H10" s="85">
        <f t="shared" si="1"/>
        <v>25</v>
      </c>
      <c r="I10" s="85">
        <f t="shared" si="1"/>
        <v>25</v>
      </c>
      <c r="J10" s="85">
        <f t="shared" si="1"/>
        <v>23.157894736842106</v>
      </c>
      <c r="K10" s="45">
        <f t="shared" si="1"/>
        <v>24.473684210526315</v>
      </c>
      <c r="L10" s="45">
        <f t="shared" si="1"/>
        <v>24.473684210526315</v>
      </c>
      <c r="M10" s="45">
        <f t="shared" si="1"/>
        <v>22.631578947368421</v>
      </c>
      <c r="N10" s="75">
        <f t="shared" si="1"/>
        <v>24.404761904761905</v>
      </c>
      <c r="O10" s="75">
        <f t="shared" si="1"/>
        <v>22.61904761904762</v>
      </c>
      <c r="P10" s="75">
        <f t="shared" si="1"/>
        <v>22.261904761904763</v>
      </c>
      <c r="Q10" s="65">
        <f t="shared" si="1"/>
        <v>24.166666666666668</v>
      </c>
      <c r="R10" s="65">
        <f t="shared" si="1"/>
        <v>22.38095238095238</v>
      </c>
      <c r="S10" s="65">
        <f t="shared" si="1"/>
        <v>22.023809523809526</v>
      </c>
      <c r="T10" s="105">
        <f t="shared" si="1"/>
        <v>24.523809523809526</v>
      </c>
      <c r="U10" s="105">
        <f t="shared" si="1"/>
        <v>22.738095238095237</v>
      </c>
      <c r="V10" s="105">
        <f t="shared" si="1"/>
        <v>22.38095238095238</v>
      </c>
      <c r="W10" s="115">
        <f t="shared" si="1"/>
        <v>24.285714285714285</v>
      </c>
      <c r="X10" s="115">
        <f t="shared" si="1"/>
        <v>22.5</v>
      </c>
      <c r="Y10" s="115">
        <f t="shared" si="1"/>
        <v>22.142857142857142</v>
      </c>
      <c r="Z10" s="125">
        <f t="shared" si="1"/>
        <v>28.75</v>
      </c>
      <c r="AA10" s="125">
        <f t="shared" si="1"/>
        <v>25.277777777777779</v>
      </c>
      <c r="AB10" s="125">
        <f t="shared" si="1"/>
        <v>23.888888888888889</v>
      </c>
      <c r="AC10" s="135">
        <f t="shared" si="1"/>
        <v>28.472222222222221</v>
      </c>
      <c r="AD10" s="135">
        <f t="shared" si="1"/>
        <v>25</v>
      </c>
      <c r="AE10" s="135">
        <f t="shared" si="1"/>
        <v>23.611111111111111</v>
      </c>
      <c r="AF10" s="145">
        <f t="shared" si="1"/>
        <v>17.833333333333332</v>
      </c>
      <c r="AG10" s="145">
        <f t="shared" si="1"/>
        <v>16.666666666666668</v>
      </c>
      <c r="AH10" s="156">
        <f t="shared" si="1"/>
        <v>33</v>
      </c>
      <c r="AI10" s="156">
        <f t="shared" si="1"/>
        <v>30.7</v>
      </c>
      <c r="AJ10" s="176" t="s">
        <v>77</v>
      </c>
      <c r="AK10" s="186">
        <f>AK8/AK28</f>
        <v>20.399999999999999</v>
      </c>
      <c r="AL10" s="166">
        <f>AL8/AL28</f>
        <v>20.66</v>
      </c>
    </row>
    <row r="11" spans="1:38" s="5" customFormat="1" x14ac:dyDescent="0.25">
      <c r="B11" s="27" t="s">
        <v>5</v>
      </c>
      <c r="C11" s="92">
        <v>51</v>
      </c>
      <c r="D11" s="92">
        <v>51</v>
      </c>
      <c r="E11" s="1">
        <v>54</v>
      </c>
      <c r="F11" s="1">
        <v>54</v>
      </c>
      <c r="G11" s="1">
        <v>54</v>
      </c>
      <c r="H11" s="82">
        <v>55</v>
      </c>
      <c r="I11" s="82">
        <v>55</v>
      </c>
      <c r="J11" s="82">
        <v>55</v>
      </c>
      <c r="K11" s="42">
        <v>55</v>
      </c>
      <c r="L11" s="42">
        <v>55</v>
      </c>
      <c r="M11" s="42">
        <v>55</v>
      </c>
      <c r="N11" s="72">
        <v>58</v>
      </c>
      <c r="O11" s="72">
        <v>58</v>
      </c>
      <c r="P11" s="72">
        <v>58</v>
      </c>
      <c r="Q11" s="62">
        <v>58</v>
      </c>
      <c r="R11" s="62">
        <v>58</v>
      </c>
      <c r="S11" s="62">
        <v>58</v>
      </c>
      <c r="T11" s="102">
        <v>58</v>
      </c>
      <c r="U11" s="102">
        <v>58</v>
      </c>
      <c r="V11" s="102">
        <v>58</v>
      </c>
      <c r="W11" s="112">
        <v>58</v>
      </c>
      <c r="X11" s="112">
        <v>58</v>
      </c>
      <c r="Y11" s="112">
        <v>58</v>
      </c>
      <c r="Z11" s="122">
        <v>48</v>
      </c>
      <c r="AA11" s="122">
        <v>49</v>
      </c>
      <c r="AB11" s="122">
        <v>50</v>
      </c>
      <c r="AC11" s="132">
        <v>48</v>
      </c>
      <c r="AD11" s="132">
        <v>49</v>
      </c>
      <c r="AE11" s="132">
        <v>50</v>
      </c>
      <c r="AF11" s="142">
        <v>63</v>
      </c>
      <c r="AG11" s="142">
        <v>63</v>
      </c>
      <c r="AH11" s="153">
        <v>47</v>
      </c>
      <c r="AI11" s="153">
        <v>47</v>
      </c>
      <c r="AJ11" s="173">
        <v>59</v>
      </c>
      <c r="AK11" s="183">
        <v>59</v>
      </c>
      <c r="AL11" s="163">
        <v>59</v>
      </c>
    </row>
    <row r="12" spans="1:38" s="5" customFormat="1" x14ac:dyDescent="0.25">
      <c r="B12" s="28" t="s">
        <v>51</v>
      </c>
      <c r="C12" s="96">
        <f t="shared" ref="C12:AL12" si="2">C4/C11</f>
        <v>3.8235294117647061</v>
      </c>
      <c r="D12" s="96">
        <f t="shared" si="2"/>
        <v>4.0588235294117645</v>
      </c>
      <c r="E12" s="9">
        <f t="shared" si="2"/>
        <v>3.7037037037037037</v>
      </c>
      <c r="F12" s="9">
        <f t="shared" si="2"/>
        <v>3.7777777777777777</v>
      </c>
      <c r="G12" s="9">
        <f t="shared" si="2"/>
        <v>3.925925925925926</v>
      </c>
      <c r="H12" s="86">
        <f t="shared" si="2"/>
        <v>3.581818181818182</v>
      </c>
      <c r="I12" s="86">
        <f t="shared" si="2"/>
        <v>3.6545454545454548</v>
      </c>
      <c r="J12" s="86">
        <f t="shared" si="2"/>
        <v>3.8</v>
      </c>
      <c r="K12" s="46">
        <f t="shared" si="2"/>
        <v>3.5454545454545454</v>
      </c>
      <c r="L12" s="46">
        <f t="shared" si="2"/>
        <v>3.6181818181818182</v>
      </c>
      <c r="M12" s="46">
        <f t="shared" si="2"/>
        <v>3.7636363636363637</v>
      </c>
      <c r="N12" s="76">
        <f t="shared" si="2"/>
        <v>3.4655172413793105</v>
      </c>
      <c r="O12" s="76">
        <f t="shared" si="2"/>
        <v>3.603448275862069</v>
      </c>
      <c r="P12" s="76">
        <f t="shared" si="2"/>
        <v>3.7241379310344827</v>
      </c>
      <c r="Q12" s="66">
        <f t="shared" si="2"/>
        <v>3.4310344827586206</v>
      </c>
      <c r="R12" s="66">
        <f t="shared" si="2"/>
        <v>3.5689655172413794</v>
      </c>
      <c r="S12" s="66">
        <f t="shared" si="2"/>
        <v>3.6724137931034484</v>
      </c>
      <c r="T12" s="106">
        <f t="shared" si="2"/>
        <v>3.5344827586206895</v>
      </c>
      <c r="U12" s="106">
        <f t="shared" si="2"/>
        <v>3.6724137931034484</v>
      </c>
      <c r="V12" s="106">
        <f t="shared" si="2"/>
        <v>3.8103448275862069</v>
      </c>
      <c r="W12" s="116">
        <f t="shared" si="2"/>
        <v>3.5</v>
      </c>
      <c r="X12" s="116">
        <f t="shared" si="2"/>
        <v>3.6379310344827585</v>
      </c>
      <c r="Y12" s="116">
        <f t="shared" si="2"/>
        <v>3.7758620689655173</v>
      </c>
      <c r="Z12" s="126">
        <f t="shared" si="2"/>
        <v>3.5833333333333335</v>
      </c>
      <c r="AA12" s="126">
        <f t="shared" si="2"/>
        <v>3.6326530612244898</v>
      </c>
      <c r="AB12" s="126">
        <f t="shared" si="2"/>
        <v>3.92</v>
      </c>
      <c r="AC12" s="136">
        <f t="shared" si="2"/>
        <v>3.5416666666666665</v>
      </c>
      <c r="AD12" s="136">
        <f t="shared" si="2"/>
        <v>3.5918367346938775</v>
      </c>
      <c r="AE12" s="136">
        <f t="shared" si="2"/>
        <v>3.88</v>
      </c>
      <c r="AF12" s="146">
        <f t="shared" si="2"/>
        <v>3.1904761904761907</v>
      </c>
      <c r="AG12" s="146">
        <f t="shared" si="2"/>
        <v>3.3015873015873014</v>
      </c>
      <c r="AH12" s="157">
        <f t="shared" si="2"/>
        <v>3.0638297872340425</v>
      </c>
      <c r="AI12" s="157">
        <f t="shared" si="2"/>
        <v>2.9574468085106385</v>
      </c>
      <c r="AJ12" s="177">
        <f t="shared" si="2"/>
        <v>3.4745762711864407</v>
      </c>
      <c r="AK12" s="187">
        <f t="shared" si="2"/>
        <v>3.4406779661016951</v>
      </c>
      <c r="AL12" s="167">
        <f t="shared" si="2"/>
        <v>3.6610169491525424</v>
      </c>
    </row>
    <row r="13" spans="1:38" s="5" customFormat="1" x14ac:dyDescent="0.25">
      <c r="B13" s="27" t="s">
        <v>6</v>
      </c>
      <c r="C13" s="92">
        <v>350</v>
      </c>
      <c r="D13" s="92">
        <v>300</v>
      </c>
      <c r="E13" s="1">
        <v>475</v>
      </c>
      <c r="F13" s="1">
        <v>450</v>
      </c>
      <c r="G13" s="1">
        <v>400</v>
      </c>
      <c r="H13" s="82">
        <v>550</v>
      </c>
      <c r="I13" s="82">
        <v>535</v>
      </c>
      <c r="J13" s="82">
        <v>475</v>
      </c>
      <c r="K13" s="42">
        <v>560</v>
      </c>
      <c r="L13" s="42">
        <v>535</v>
      </c>
      <c r="M13" s="42">
        <v>485</v>
      </c>
      <c r="N13" s="72">
        <v>650</v>
      </c>
      <c r="O13" s="72">
        <v>575</v>
      </c>
      <c r="P13" s="72">
        <v>500</v>
      </c>
      <c r="Q13" s="62">
        <v>650</v>
      </c>
      <c r="R13" s="62">
        <v>575</v>
      </c>
      <c r="S13" s="62">
        <v>500</v>
      </c>
      <c r="T13" s="102">
        <v>650</v>
      </c>
      <c r="U13" s="102">
        <v>575</v>
      </c>
      <c r="V13" s="102">
        <v>500</v>
      </c>
      <c r="W13" s="112">
        <v>650</v>
      </c>
      <c r="X13" s="112">
        <v>575</v>
      </c>
      <c r="Y13" s="112">
        <v>500</v>
      </c>
      <c r="Z13" s="122">
        <v>525</v>
      </c>
      <c r="AA13" s="122">
        <v>500</v>
      </c>
      <c r="AB13" s="122">
        <v>475</v>
      </c>
      <c r="AC13" s="132">
        <v>525</v>
      </c>
      <c r="AD13" s="132">
        <v>500</v>
      </c>
      <c r="AE13" s="132">
        <v>475</v>
      </c>
      <c r="AF13" s="142">
        <v>583</v>
      </c>
      <c r="AG13" s="142">
        <v>500</v>
      </c>
      <c r="AH13" s="153">
        <v>700</v>
      </c>
      <c r="AI13" s="153">
        <v>700</v>
      </c>
      <c r="AJ13" s="173">
        <v>512</v>
      </c>
      <c r="AK13" s="183">
        <v>406</v>
      </c>
      <c r="AL13" s="163">
        <v>375</v>
      </c>
    </row>
    <row r="14" spans="1:38" s="5" customFormat="1" x14ac:dyDescent="0.25">
      <c r="B14" s="27" t="s">
        <v>7</v>
      </c>
      <c r="C14" s="92">
        <v>350</v>
      </c>
      <c r="D14" s="92">
        <v>350</v>
      </c>
      <c r="E14" s="1">
        <v>425</v>
      </c>
      <c r="F14" s="1">
        <v>425</v>
      </c>
      <c r="G14" s="1">
        <v>425</v>
      </c>
      <c r="H14" s="82">
        <v>500</v>
      </c>
      <c r="I14" s="82">
        <v>500</v>
      </c>
      <c r="J14" s="82">
        <v>500</v>
      </c>
      <c r="K14" s="42">
        <v>500</v>
      </c>
      <c r="L14" s="42">
        <v>500</v>
      </c>
      <c r="M14" s="42">
        <v>500</v>
      </c>
      <c r="N14" s="72">
        <v>500</v>
      </c>
      <c r="O14" s="72">
        <v>500</v>
      </c>
      <c r="P14" s="72">
        <v>500</v>
      </c>
      <c r="Q14" s="62">
        <v>500</v>
      </c>
      <c r="R14" s="62">
        <v>500</v>
      </c>
      <c r="S14" s="62">
        <v>500</v>
      </c>
      <c r="T14" s="102">
        <v>500</v>
      </c>
      <c r="U14" s="102">
        <v>500</v>
      </c>
      <c r="V14" s="102">
        <v>500</v>
      </c>
      <c r="W14" s="112">
        <v>500</v>
      </c>
      <c r="X14" s="112">
        <v>500</v>
      </c>
      <c r="Y14" s="112">
        <v>500</v>
      </c>
      <c r="Z14" s="122">
        <v>355</v>
      </c>
      <c r="AA14" s="122">
        <v>410</v>
      </c>
      <c r="AB14" s="122">
        <v>450</v>
      </c>
      <c r="AC14" s="132">
        <v>375</v>
      </c>
      <c r="AD14" s="132">
        <v>410</v>
      </c>
      <c r="AE14" s="132">
        <v>450</v>
      </c>
      <c r="AF14" s="142">
        <v>650</v>
      </c>
      <c r="AG14" s="142">
        <v>650</v>
      </c>
      <c r="AH14" s="153">
        <v>525</v>
      </c>
      <c r="AI14" s="153">
        <v>525</v>
      </c>
      <c r="AJ14" s="173">
        <v>550</v>
      </c>
      <c r="AK14" s="183">
        <v>340</v>
      </c>
      <c r="AL14" s="163">
        <v>340</v>
      </c>
    </row>
    <row r="15" spans="1:38" s="33" customFormat="1" x14ac:dyDescent="0.25">
      <c r="B15" s="31" t="s">
        <v>8</v>
      </c>
      <c r="C15" s="93">
        <v>1700</v>
      </c>
      <c r="D15" s="93">
        <v>2050</v>
      </c>
      <c r="E15" s="32">
        <v>1500</v>
      </c>
      <c r="F15" s="32">
        <v>1650</v>
      </c>
      <c r="G15" s="32">
        <v>1950</v>
      </c>
      <c r="H15" s="83">
        <v>1355</v>
      </c>
      <c r="I15" s="83">
        <v>1500</v>
      </c>
      <c r="J15" s="83">
        <v>1790</v>
      </c>
      <c r="K15" s="43">
        <v>1305</v>
      </c>
      <c r="L15" s="43">
        <v>1450</v>
      </c>
      <c r="M15" s="43">
        <v>1740</v>
      </c>
      <c r="N15" s="73">
        <v>1400</v>
      </c>
      <c r="O15" s="73">
        <v>1650</v>
      </c>
      <c r="P15" s="73">
        <v>1900</v>
      </c>
      <c r="Q15" s="63">
        <v>1350</v>
      </c>
      <c r="R15" s="63">
        <v>1600</v>
      </c>
      <c r="S15" s="63">
        <v>1850</v>
      </c>
      <c r="T15" s="103">
        <v>1400</v>
      </c>
      <c r="U15" s="103">
        <v>1650</v>
      </c>
      <c r="V15" s="103">
        <v>1900</v>
      </c>
      <c r="W15" s="113">
        <v>1350</v>
      </c>
      <c r="X15" s="113">
        <v>1600</v>
      </c>
      <c r="Y15" s="113">
        <v>1800</v>
      </c>
      <c r="Z15" s="123">
        <v>1000</v>
      </c>
      <c r="AA15" s="123">
        <v>1150</v>
      </c>
      <c r="AB15" s="123">
        <v>1400</v>
      </c>
      <c r="AC15" s="133">
        <v>950</v>
      </c>
      <c r="AD15" s="133">
        <v>1100</v>
      </c>
      <c r="AE15" s="133">
        <v>1400</v>
      </c>
      <c r="AF15" s="143">
        <v>1221</v>
      </c>
      <c r="AG15" s="143">
        <v>1450</v>
      </c>
      <c r="AH15" s="154">
        <v>1000</v>
      </c>
      <c r="AI15" s="154">
        <v>900</v>
      </c>
      <c r="AJ15" s="174">
        <v>1500</v>
      </c>
      <c r="AK15" s="184">
        <v>1500</v>
      </c>
      <c r="AL15" s="164">
        <v>1680</v>
      </c>
    </row>
    <row r="16" spans="1:38" s="33" customFormat="1" x14ac:dyDescent="0.25">
      <c r="B16" s="31" t="s">
        <v>9</v>
      </c>
      <c r="C16" s="93">
        <v>20500</v>
      </c>
      <c r="D16" s="93">
        <v>23500</v>
      </c>
      <c r="E16" s="32">
        <v>18000</v>
      </c>
      <c r="F16" s="32">
        <v>19500</v>
      </c>
      <c r="G16" s="32">
        <v>23000</v>
      </c>
      <c r="H16" s="83">
        <v>15800</v>
      </c>
      <c r="I16" s="83">
        <v>17400</v>
      </c>
      <c r="J16" s="83">
        <v>20800</v>
      </c>
      <c r="K16" s="43">
        <v>14750</v>
      </c>
      <c r="L16" s="43">
        <v>16400</v>
      </c>
      <c r="M16" s="43">
        <v>19700</v>
      </c>
      <c r="N16" s="73">
        <v>18500</v>
      </c>
      <c r="O16" s="73">
        <v>20500</v>
      </c>
      <c r="P16" s="73">
        <v>22500</v>
      </c>
      <c r="Q16" s="63">
        <v>17500</v>
      </c>
      <c r="R16" s="63">
        <v>19500</v>
      </c>
      <c r="S16" s="63">
        <v>21500</v>
      </c>
      <c r="T16" s="103">
        <v>18500</v>
      </c>
      <c r="U16" s="103">
        <v>20500</v>
      </c>
      <c r="V16" s="103">
        <v>22500</v>
      </c>
      <c r="W16" s="113">
        <v>17500</v>
      </c>
      <c r="X16" s="113">
        <v>19500</v>
      </c>
      <c r="Y16" s="113">
        <v>21500</v>
      </c>
      <c r="Z16" s="123">
        <v>14500</v>
      </c>
      <c r="AA16" s="123">
        <v>16000</v>
      </c>
      <c r="AB16" s="123">
        <v>19000</v>
      </c>
      <c r="AC16" s="133">
        <v>14000</v>
      </c>
      <c r="AD16" s="133">
        <v>15500</v>
      </c>
      <c r="AE16" s="133">
        <v>18500</v>
      </c>
      <c r="AF16" s="143">
        <v>16839</v>
      </c>
      <c r="AG16" s="143">
        <v>20000</v>
      </c>
      <c r="AH16" s="154">
        <v>17300</v>
      </c>
      <c r="AI16" s="154">
        <v>13000</v>
      </c>
      <c r="AJ16" s="174">
        <v>18000</v>
      </c>
      <c r="AK16" s="185">
        <v>18000</v>
      </c>
      <c r="AL16" s="164">
        <v>18000</v>
      </c>
    </row>
    <row r="17" spans="2:38" s="17" customFormat="1" x14ac:dyDescent="0.25"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1"/>
    </row>
    <row r="18" spans="2:38" s="25" customFormat="1" ht="21" x14ac:dyDescent="0.25">
      <c r="B18" s="29" t="s">
        <v>0</v>
      </c>
      <c r="C18" s="51" t="s">
        <v>50</v>
      </c>
      <c r="D18" s="26"/>
      <c r="E18" s="51" t="s">
        <v>48</v>
      </c>
      <c r="F18" s="26"/>
      <c r="G18" s="26"/>
      <c r="H18" s="51" t="s">
        <v>37</v>
      </c>
      <c r="I18" s="26"/>
      <c r="J18" s="26"/>
      <c r="K18" s="51" t="s">
        <v>40</v>
      </c>
      <c r="L18" s="26"/>
      <c r="M18" s="26"/>
      <c r="N18" s="51" t="s">
        <v>33</v>
      </c>
      <c r="O18" s="26"/>
      <c r="P18" s="26"/>
      <c r="Q18" s="51" t="s">
        <v>36</v>
      </c>
      <c r="R18" s="26"/>
      <c r="S18" s="26"/>
      <c r="T18" s="51" t="s">
        <v>43</v>
      </c>
      <c r="U18" s="26"/>
      <c r="V18" s="26"/>
      <c r="W18" s="51" t="s">
        <v>45</v>
      </c>
      <c r="X18" s="26"/>
      <c r="Y18" s="26"/>
      <c r="Z18" s="51" t="s">
        <v>19</v>
      </c>
      <c r="AA18" s="26"/>
      <c r="AB18" s="26"/>
      <c r="AC18" s="51" t="s">
        <v>20</v>
      </c>
      <c r="AD18" s="26"/>
      <c r="AE18" s="26"/>
      <c r="AF18" s="51" t="s">
        <v>52</v>
      </c>
      <c r="AG18" s="26"/>
      <c r="AH18" s="51" t="s">
        <v>2</v>
      </c>
      <c r="AI18" s="26"/>
      <c r="AJ18" s="51" t="s">
        <v>3</v>
      </c>
      <c r="AK18" s="51" t="s">
        <v>18</v>
      </c>
      <c r="AL18" s="57"/>
    </row>
    <row r="19" spans="2:38" s="5" customFormat="1" x14ac:dyDescent="0.25">
      <c r="B19" s="58" t="s">
        <v>22</v>
      </c>
      <c r="C19" s="91" t="s">
        <v>26</v>
      </c>
      <c r="D19" s="91" t="s">
        <v>26</v>
      </c>
      <c r="E19" s="52">
        <v>23</v>
      </c>
      <c r="F19" s="52">
        <v>23</v>
      </c>
      <c r="G19" s="52">
        <v>23</v>
      </c>
      <c r="H19" s="81">
        <v>23</v>
      </c>
      <c r="I19" s="81">
        <v>23</v>
      </c>
      <c r="J19" s="81">
        <v>23</v>
      </c>
      <c r="K19" s="53">
        <v>23</v>
      </c>
      <c r="L19" s="53">
        <v>23</v>
      </c>
      <c r="M19" s="53">
        <v>23</v>
      </c>
      <c r="N19" s="71">
        <v>25</v>
      </c>
      <c r="O19" s="71">
        <v>25</v>
      </c>
      <c r="P19" s="71">
        <v>25</v>
      </c>
      <c r="Q19" s="61">
        <v>25</v>
      </c>
      <c r="R19" s="61">
        <v>25</v>
      </c>
      <c r="S19" s="61">
        <v>25</v>
      </c>
      <c r="T19" s="101">
        <v>24</v>
      </c>
      <c r="U19" s="101">
        <v>24</v>
      </c>
      <c r="V19" s="101">
        <v>24</v>
      </c>
      <c r="W19" s="111">
        <v>24</v>
      </c>
      <c r="X19" s="111">
        <v>24</v>
      </c>
      <c r="Y19" s="111">
        <v>24</v>
      </c>
      <c r="Z19" s="121">
        <v>28</v>
      </c>
      <c r="AA19" s="121">
        <v>28</v>
      </c>
      <c r="AB19" s="121">
        <v>28</v>
      </c>
      <c r="AC19" s="131">
        <v>28</v>
      </c>
      <c r="AD19" s="131">
        <v>28</v>
      </c>
      <c r="AE19" s="131">
        <v>28</v>
      </c>
      <c r="AF19" s="141" t="s">
        <v>53</v>
      </c>
      <c r="AG19" s="141" t="s">
        <v>53</v>
      </c>
      <c r="AH19" s="152" t="s">
        <v>25</v>
      </c>
      <c r="AI19" s="152" t="s">
        <v>25</v>
      </c>
      <c r="AJ19" s="172">
        <v>27</v>
      </c>
      <c r="AK19" s="182">
        <v>27</v>
      </c>
      <c r="AL19" s="162">
        <v>27</v>
      </c>
    </row>
    <row r="20" spans="2:38" s="5" customFormat="1" x14ac:dyDescent="0.25">
      <c r="B20" s="27" t="s">
        <v>23</v>
      </c>
      <c r="C20" s="91">
        <v>19</v>
      </c>
      <c r="D20" s="91">
        <v>19</v>
      </c>
      <c r="E20" s="52" t="s">
        <v>34</v>
      </c>
      <c r="F20" s="52" t="s">
        <v>34</v>
      </c>
      <c r="G20" s="52" t="s">
        <v>34</v>
      </c>
      <c r="H20" s="81" t="s">
        <v>38</v>
      </c>
      <c r="I20" s="81" t="s">
        <v>38</v>
      </c>
      <c r="J20" s="81" t="s">
        <v>38</v>
      </c>
      <c r="K20" s="53" t="s">
        <v>41</v>
      </c>
      <c r="L20" s="53" t="s">
        <v>41</v>
      </c>
      <c r="M20" s="53" t="s">
        <v>41</v>
      </c>
      <c r="N20" s="71" t="s">
        <v>34</v>
      </c>
      <c r="O20" s="71" t="s">
        <v>34</v>
      </c>
      <c r="P20" s="71" t="s">
        <v>34</v>
      </c>
      <c r="Q20" s="61" t="s">
        <v>34</v>
      </c>
      <c r="R20" s="61" t="s">
        <v>34</v>
      </c>
      <c r="S20" s="61" t="s">
        <v>34</v>
      </c>
      <c r="T20" s="101">
        <v>21</v>
      </c>
      <c r="U20" s="101">
        <v>21</v>
      </c>
      <c r="V20" s="101">
        <v>21</v>
      </c>
      <c r="W20" s="111" t="s">
        <v>46</v>
      </c>
      <c r="X20" s="111" t="s">
        <v>46</v>
      </c>
      <c r="Y20" s="111" t="s">
        <v>46</v>
      </c>
      <c r="Z20" s="121" t="s">
        <v>32</v>
      </c>
      <c r="AA20" s="121" t="s">
        <v>32</v>
      </c>
      <c r="AB20" s="121" t="s">
        <v>32</v>
      </c>
      <c r="AC20" s="131" t="s">
        <v>32</v>
      </c>
      <c r="AD20" s="131" t="s">
        <v>32</v>
      </c>
      <c r="AE20" s="131" t="s">
        <v>32</v>
      </c>
      <c r="AF20" s="141" t="s">
        <v>54</v>
      </c>
      <c r="AG20" s="141" t="s">
        <v>54</v>
      </c>
      <c r="AH20" s="152" t="s">
        <v>26</v>
      </c>
      <c r="AI20" s="152" t="s">
        <v>26</v>
      </c>
      <c r="AJ20" s="172" t="s">
        <v>28</v>
      </c>
      <c r="AK20" s="182" t="s">
        <v>28</v>
      </c>
      <c r="AL20" s="162" t="s">
        <v>28</v>
      </c>
    </row>
    <row r="21" spans="2:38" s="5" customFormat="1" x14ac:dyDescent="0.25">
      <c r="B21" s="27" t="s">
        <v>24</v>
      </c>
      <c r="C21" s="92">
        <v>5</v>
      </c>
      <c r="D21" s="92">
        <v>5</v>
      </c>
      <c r="E21" s="1" t="s">
        <v>49</v>
      </c>
      <c r="F21" s="1" t="s">
        <v>49</v>
      </c>
      <c r="G21" s="1" t="s">
        <v>49</v>
      </c>
      <c r="H21" s="82" t="s">
        <v>39</v>
      </c>
      <c r="I21" s="82" t="s">
        <v>39</v>
      </c>
      <c r="J21" s="82" t="s">
        <v>39</v>
      </c>
      <c r="K21" s="42" t="s">
        <v>42</v>
      </c>
      <c r="L21" s="42" t="s">
        <v>42</v>
      </c>
      <c r="M21" s="42" t="s">
        <v>42</v>
      </c>
      <c r="N21" s="72" t="s">
        <v>35</v>
      </c>
      <c r="O21" s="72" t="s">
        <v>35</v>
      </c>
      <c r="P21" s="72" t="s">
        <v>35</v>
      </c>
      <c r="Q21" s="62" t="s">
        <v>21</v>
      </c>
      <c r="R21" s="62" t="s">
        <v>21</v>
      </c>
      <c r="S21" s="62" t="s">
        <v>21</v>
      </c>
      <c r="T21" s="102" t="s">
        <v>44</v>
      </c>
      <c r="U21" s="102" t="s">
        <v>44</v>
      </c>
      <c r="V21" s="102" t="s">
        <v>44</v>
      </c>
      <c r="W21" s="112" t="s">
        <v>47</v>
      </c>
      <c r="X21" s="112" t="s">
        <v>47</v>
      </c>
      <c r="Y21" s="112" t="s">
        <v>47</v>
      </c>
      <c r="Z21" s="122">
        <v>6</v>
      </c>
      <c r="AA21" s="122">
        <v>6</v>
      </c>
      <c r="AB21" s="122">
        <v>6</v>
      </c>
      <c r="AC21" s="132" t="s">
        <v>21</v>
      </c>
      <c r="AD21" s="132" t="s">
        <v>21</v>
      </c>
      <c r="AE21" s="132" t="s">
        <v>21</v>
      </c>
      <c r="AF21" s="142" t="s">
        <v>55</v>
      </c>
      <c r="AG21" s="142" t="s">
        <v>55</v>
      </c>
      <c r="AH21" s="153" t="s">
        <v>27</v>
      </c>
      <c r="AI21" s="153" t="s">
        <v>27</v>
      </c>
      <c r="AJ21" s="173" t="s">
        <v>29</v>
      </c>
      <c r="AK21" s="183" t="s">
        <v>31</v>
      </c>
      <c r="AL21" s="163" t="s">
        <v>31</v>
      </c>
    </row>
    <row r="22" spans="2:38" s="5" customFormat="1" x14ac:dyDescent="0.25">
      <c r="B22" s="27" t="s">
        <v>10</v>
      </c>
      <c r="C22" s="92">
        <v>90</v>
      </c>
      <c r="D22" s="92">
        <v>90</v>
      </c>
      <c r="E22" s="1">
        <v>110</v>
      </c>
      <c r="F22" s="1">
        <v>110</v>
      </c>
      <c r="G22" s="1">
        <v>110</v>
      </c>
      <c r="H22" s="82">
        <v>110</v>
      </c>
      <c r="I22" s="82">
        <v>110</v>
      </c>
      <c r="J22" s="82">
        <v>110</v>
      </c>
      <c r="K22" s="42">
        <v>110</v>
      </c>
      <c r="L22" s="42">
        <v>110</v>
      </c>
      <c r="M22" s="42">
        <v>110</v>
      </c>
      <c r="N22" s="72">
        <v>121</v>
      </c>
      <c r="O22" s="72">
        <v>121</v>
      </c>
      <c r="P22" s="72">
        <v>121</v>
      </c>
      <c r="Q22" s="62">
        <v>121</v>
      </c>
      <c r="R22" s="62">
        <v>121</v>
      </c>
      <c r="S22" s="62">
        <v>121</v>
      </c>
      <c r="T22" s="102">
        <v>116</v>
      </c>
      <c r="U22" s="102">
        <v>116</v>
      </c>
      <c r="V22" s="102">
        <v>116</v>
      </c>
      <c r="W22" s="112">
        <v>116</v>
      </c>
      <c r="X22" s="112">
        <v>116</v>
      </c>
      <c r="Y22" s="112">
        <v>116</v>
      </c>
      <c r="Z22" s="122">
        <v>124</v>
      </c>
      <c r="AA22" s="122">
        <v>124</v>
      </c>
      <c r="AB22" s="122">
        <v>124</v>
      </c>
      <c r="AC22" s="132">
        <v>124</v>
      </c>
      <c r="AD22" s="132">
        <v>124</v>
      </c>
      <c r="AE22" s="132">
        <v>124</v>
      </c>
      <c r="AF22" s="142">
        <v>148</v>
      </c>
      <c r="AG22" s="142">
        <v>148</v>
      </c>
      <c r="AH22" s="153">
        <v>127</v>
      </c>
      <c r="AI22" s="153">
        <v>127</v>
      </c>
      <c r="AJ22" s="173" t="s">
        <v>30</v>
      </c>
      <c r="AK22" s="183" t="s">
        <v>30</v>
      </c>
      <c r="AL22" s="163" t="s">
        <v>30</v>
      </c>
    </row>
    <row r="23" spans="2:38" s="33" customFormat="1" x14ac:dyDescent="0.25">
      <c r="B23" s="31" t="s">
        <v>11</v>
      </c>
      <c r="C23" s="93">
        <v>703</v>
      </c>
      <c r="D23" s="93">
        <v>750</v>
      </c>
      <c r="E23" s="32">
        <v>903</v>
      </c>
      <c r="F23" s="32">
        <f>(E23+G23)/2</f>
        <v>908</v>
      </c>
      <c r="G23" s="32">
        <v>913</v>
      </c>
      <c r="H23" s="83">
        <v>965</v>
      </c>
      <c r="I23" s="83">
        <v>965</v>
      </c>
      <c r="J23" s="83">
        <v>965</v>
      </c>
      <c r="K23" s="43">
        <v>985</v>
      </c>
      <c r="L23" s="43">
        <v>985</v>
      </c>
      <c r="M23" s="43">
        <v>985</v>
      </c>
      <c r="N23" s="73">
        <v>1061</v>
      </c>
      <c r="O23" s="73">
        <f>(N23+P23)/2</f>
        <v>1087.5</v>
      </c>
      <c r="P23" s="73">
        <v>1114</v>
      </c>
      <c r="Q23" s="63">
        <v>1077</v>
      </c>
      <c r="R23" s="63">
        <f>(Q23+S23)/2</f>
        <v>1103.5</v>
      </c>
      <c r="S23" s="63">
        <v>1130</v>
      </c>
      <c r="T23" s="103">
        <v>1067</v>
      </c>
      <c r="U23" s="103">
        <f>(T23+V23)/2</f>
        <v>1093.5</v>
      </c>
      <c r="V23" s="103">
        <v>1120</v>
      </c>
      <c r="W23" s="113">
        <v>1077</v>
      </c>
      <c r="X23" s="113">
        <f>(W23+Y23)/2</f>
        <v>1098.5</v>
      </c>
      <c r="Y23" s="113">
        <v>1120</v>
      </c>
      <c r="Z23" s="123">
        <v>1015</v>
      </c>
      <c r="AA23" s="123">
        <f>(Z23+AB23)/2</f>
        <v>1036</v>
      </c>
      <c r="AB23" s="123">
        <v>1057</v>
      </c>
      <c r="AC23" s="133">
        <v>1028</v>
      </c>
      <c r="AD23" s="133">
        <f>(AC23+AE23)/2</f>
        <v>1042.5</v>
      </c>
      <c r="AE23" s="133">
        <v>1057</v>
      </c>
      <c r="AF23" s="143">
        <v>1520</v>
      </c>
      <c r="AG23" s="143">
        <v>1630</v>
      </c>
      <c r="AH23" s="154">
        <v>775</v>
      </c>
      <c r="AI23" s="154">
        <v>775</v>
      </c>
      <c r="AJ23" s="174">
        <v>1225</v>
      </c>
      <c r="AK23" s="184">
        <v>1240</v>
      </c>
      <c r="AL23" s="164">
        <v>1240</v>
      </c>
    </row>
    <row r="24" spans="2:38" s="33" customFormat="1" x14ac:dyDescent="0.25">
      <c r="B24" s="31" t="s">
        <v>12</v>
      </c>
      <c r="C24" s="93">
        <v>1100</v>
      </c>
      <c r="D24" s="93">
        <v>1100</v>
      </c>
      <c r="E24" s="32">
        <v>1500</v>
      </c>
      <c r="F24" s="32">
        <v>1500</v>
      </c>
      <c r="G24" s="32">
        <v>1500</v>
      </c>
      <c r="H24" s="83">
        <v>1650</v>
      </c>
      <c r="I24" s="83">
        <v>1650</v>
      </c>
      <c r="J24" s="83">
        <v>1650</v>
      </c>
      <c r="K24" s="43">
        <v>1650</v>
      </c>
      <c r="L24" s="43">
        <v>1650</v>
      </c>
      <c r="M24" s="43">
        <v>1650</v>
      </c>
      <c r="N24" s="73">
        <v>1800</v>
      </c>
      <c r="O24" s="73">
        <v>1800</v>
      </c>
      <c r="P24" s="73">
        <v>1800</v>
      </c>
      <c r="Q24" s="63">
        <v>1800</v>
      </c>
      <c r="R24" s="63">
        <v>1800</v>
      </c>
      <c r="S24" s="63">
        <v>1800</v>
      </c>
      <c r="T24" s="103">
        <v>1800</v>
      </c>
      <c r="U24" s="103">
        <v>1800</v>
      </c>
      <c r="V24" s="103">
        <v>1800</v>
      </c>
      <c r="W24" s="113">
        <v>1800</v>
      </c>
      <c r="X24" s="113">
        <v>1800</v>
      </c>
      <c r="Y24" s="113">
        <v>1800</v>
      </c>
      <c r="Z24" s="123">
        <v>1750</v>
      </c>
      <c r="AA24" s="123">
        <v>1750</v>
      </c>
      <c r="AB24" s="123">
        <v>1750</v>
      </c>
      <c r="AC24" s="133">
        <v>1750</v>
      </c>
      <c r="AD24" s="133">
        <v>1750</v>
      </c>
      <c r="AE24" s="133">
        <v>1750</v>
      </c>
      <c r="AF24" s="143">
        <v>2700</v>
      </c>
      <c r="AG24" s="143">
        <v>2700</v>
      </c>
      <c r="AH24" s="154">
        <v>1320</v>
      </c>
      <c r="AI24" s="154">
        <v>1320</v>
      </c>
      <c r="AJ24" s="174">
        <v>2050</v>
      </c>
      <c r="AK24" s="184">
        <v>2050</v>
      </c>
      <c r="AL24" s="164">
        <v>2050</v>
      </c>
    </row>
    <row r="25" spans="2:38" s="5" customFormat="1" x14ac:dyDescent="0.25">
      <c r="B25" s="27" t="s">
        <v>68</v>
      </c>
      <c r="C25" s="92">
        <f t="shared" ref="C25:AE25" si="3">C24-C23</f>
        <v>397</v>
      </c>
      <c r="D25" s="92">
        <f t="shared" si="3"/>
        <v>350</v>
      </c>
      <c r="E25" s="1">
        <f t="shared" si="3"/>
        <v>597</v>
      </c>
      <c r="F25" s="1">
        <f t="shared" si="3"/>
        <v>592</v>
      </c>
      <c r="G25" s="1">
        <f t="shared" si="3"/>
        <v>587</v>
      </c>
      <c r="H25" s="82">
        <f t="shared" si="3"/>
        <v>685</v>
      </c>
      <c r="I25" s="82">
        <f t="shared" si="3"/>
        <v>685</v>
      </c>
      <c r="J25" s="82">
        <f t="shared" si="3"/>
        <v>685</v>
      </c>
      <c r="K25" s="42">
        <f t="shared" si="3"/>
        <v>665</v>
      </c>
      <c r="L25" s="42">
        <f t="shared" si="3"/>
        <v>665</v>
      </c>
      <c r="M25" s="42">
        <f t="shared" si="3"/>
        <v>665</v>
      </c>
      <c r="N25" s="72">
        <f t="shared" si="3"/>
        <v>739</v>
      </c>
      <c r="O25" s="72">
        <f t="shared" si="3"/>
        <v>712.5</v>
      </c>
      <c r="P25" s="72">
        <f t="shared" si="3"/>
        <v>686</v>
      </c>
      <c r="Q25" s="62">
        <f t="shared" si="3"/>
        <v>723</v>
      </c>
      <c r="R25" s="62">
        <f t="shared" si="3"/>
        <v>696.5</v>
      </c>
      <c r="S25" s="62">
        <f t="shared" si="3"/>
        <v>670</v>
      </c>
      <c r="T25" s="102">
        <f t="shared" si="3"/>
        <v>733</v>
      </c>
      <c r="U25" s="102">
        <f t="shared" si="3"/>
        <v>706.5</v>
      </c>
      <c r="V25" s="102">
        <f t="shared" si="3"/>
        <v>680</v>
      </c>
      <c r="W25" s="112">
        <f t="shared" si="3"/>
        <v>723</v>
      </c>
      <c r="X25" s="112">
        <f t="shared" si="3"/>
        <v>701.5</v>
      </c>
      <c r="Y25" s="112">
        <f t="shared" si="3"/>
        <v>680</v>
      </c>
      <c r="Z25" s="122">
        <f t="shared" si="3"/>
        <v>735</v>
      </c>
      <c r="AA25" s="122">
        <f t="shared" si="3"/>
        <v>714</v>
      </c>
      <c r="AB25" s="122">
        <f t="shared" si="3"/>
        <v>693</v>
      </c>
      <c r="AC25" s="132">
        <f t="shared" si="3"/>
        <v>722</v>
      </c>
      <c r="AD25" s="132">
        <f t="shared" si="3"/>
        <v>707.5</v>
      </c>
      <c r="AE25" s="132">
        <f t="shared" si="3"/>
        <v>693</v>
      </c>
      <c r="AF25" s="142">
        <f t="shared" ref="AF25:AG25" si="4">AF24-AF23</f>
        <v>1180</v>
      </c>
      <c r="AG25" s="142">
        <f t="shared" si="4"/>
        <v>1070</v>
      </c>
      <c r="AH25" s="153">
        <f>AH24-AH23</f>
        <v>545</v>
      </c>
      <c r="AI25" s="153">
        <f>AI24-AI23</f>
        <v>545</v>
      </c>
      <c r="AJ25" s="173">
        <f>AJ24-AJ23</f>
        <v>825</v>
      </c>
      <c r="AK25" s="183">
        <f>AK24-AK23</f>
        <v>810</v>
      </c>
      <c r="AL25" s="163">
        <f>AL24-AL23</f>
        <v>810</v>
      </c>
    </row>
    <row r="26" spans="2:38" s="5" customFormat="1" x14ac:dyDescent="0.25">
      <c r="B26" s="27" t="s">
        <v>13</v>
      </c>
      <c r="C26" s="92">
        <v>12.22</v>
      </c>
      <c r="D26" s="92">
        <v>12.22</v>
      </c>
      <c r="E26" s="1">
        <v>13.64</v>
      </c>
      <c r="F26" s="1">
        <v>13.64</v>
      </c>
      <c r="G26" s="1">
        <v>13.64</v>
      </c>
      <c r="H26" s="82">
        <v>15</v>
      </c>
      <c r="I26" s="82">
        <v>15</v>
      </c>
      <c r="J26" s="82">
        <v>15</v>
      </c>
      <c r="K26" s="42">
        <v>15</v>
      </c>
      <c r="L26" s="42">
        <v>15</v>
      </c>
      <c r="M26" s="42">
        <v>15</v>
      </c>
      <c r="N26" s="72">
        <v>14.8</v>
      </c>
      <c r="O26" s="72">
        <v>14.8</v>
      </c>
      <c r="P26" s="72">
        <v>14.8</v>
      </c>
      <c r="Q26" s="62">
        <v>14.8</v>
      </c>
      <c r="R26" s="62">
        <v>14.8</v>
      </c>
      <c r="S26" s="62">
        <v>14.8</v>
      </c>
      <c r="T26" s="102">
        <v>15.5</v>
      </c>
      <c r="U26" s="102">
        <v>15.5</v>
      </c>
      <c r="V26" s="102">
        <v>15.5</v>
      </c>
      <c r="W26" s="112">
        <v>15.5</v>
      </c>
      <c r="X26" s="112">
        <v>15.5</v>
      </c>
      <c r="Y26" s="112">
        <v>15.5</v>
      </c>
      <c r="Z26" s="122">
        <v>14.1</v>
      </c>
      <c r="AA26" s="122">
        <v>14.1</v>
      </c>
      <c r="AB26" s="122">
        <v>14.1</v>
      </c>
      <c r="AC26" s="132">
        <v>14.1</v>
      </c>
      <c r="AD26" s="132">
        <v>14.1</v>
      </c>
      <c r="AE26" s="132">
        <v>14.1</v>
      </c>
      <c r="AF26" s="142">
        <v>18.600000000000001</v>
      </c>
      <c r="AG26" s="142">
        <v>18.600000000000001</v>
      </c>
      <c r="AH26" s="153">
        <v>10.4</v>
      </c>
      <c r="AI26" s="153">
        <v>10.4</v>
      </c>
      <c r="AJ26" s="173">
        <v>16.260000000000002</v>
      </c>
      <c r="AK26" s="183">
        <v>16.260000000000002</v>
      </c>
      <c r="AL26" s="163">
        <v>16.260000000000002</v>
      </c>
    </row>
    <row r="27" spans="2:38" s="5" customFormat="1" x14ac:dyDescent="0.25">
      <c r="B27" s="27" t="s">
        <v>14</v>
      </c>
      <c r="C27" s="92">
        <v>11</v>
      </c>
      <c r="D27" s="92">
        <v>11</v>
      </c>
      <c r="E27" s="1">
        <v>10</v>
      </c>
      <c r="F27" s="1">
        <v>10</v>
      </c>
      <c r="G27" s="1">
        <v>10</v>
      </c>
      <c r="H27" s="82">
        <v>10</v>
      </c>
      <c r="I27" s="82">
        <v>10</v>
      </c>
      <c r="J27" s="82">
        <v>10</v>
      </c>
      <c r="K27" s="42">
        <v>10.3</v>
      </c>
      <c r="L27" s="42">
        <v>10.3</v>
      </c>
      <c r="M27" s="42">
        <v>10.3</v>
      </c>
      <c r="N27" s="72">
        <v>12</v>
      </c>
      <c r="O27" s="72">
        <v>12</v>
      </c>
      <c r="P27" s="72">
        <v>12</v>
      </c>
      <c r="Q27" s="62">
        <v>12</v>
      </c>
      <c r="R27" s="62">
        <v>12</v>
      </c>
      <c r="S27" s="62">
        <v>12</v>
      </c>
      <c r="T27" s="102">
        <v>12</v>
      </c>
      <c r="U27" s="102">
        <v>12</v>
      </c>
      <c r="V27" s="102">
        <v>12</v>
      </c>
      <c r="W27" s="112">
        <v>12</v>
      </c>
      <c r="X27" s="112">
        <v>12</v>
      </c>
      <c r="Y27" s="112">
        <v>12</v>
      </c>
      <c r="Z27" s="122">
        <v>13.6</v>
      </c>
      <c r="AA27" s="122">
        <v>13.6</v>
      </c>
      <c r="AB27" s="122">
        <v>13.6</v>
      </c>
      <c r="AC27" s="132">
        <v>13.6</v>
      </c>
      <c r="AD27" s="132">
        <v>13.6</v>
      </c>
      <c r="AE27" s="132">
        <v>13.6</v>
      </c>
      <c r="AF27" s="142">
        <v>13.5</v>
      </c>
      <c r="AG27" s="142">
        <v>13.5</v>
      </c>
      <c r="AH27" s="153">
        <v>13.2</v>
      </c>
      <c r="AI27" s="153">
        <v>13.2</v>
      </c>
      <c r="AJ27" s="173">
        <v>10.25</v>
      </c>
      <c r="AK27" s="183">
        <v>9.76</v>
      </c>
      <c r="AL27" s="163">
        <v>9.76</v>
      </c>
    </row>
    <row r="28" spans="2:38" s="5" customFormat="1" x14ac:dyDescent="0.25">
      <c r="B28" s="27" t="s">
        <v>15</v>
      </c>
      <c r="C28" s="92">
        <v>30</v>
      </c>
      <c r="D28" s="92">
        <v>30</v>
      </c>
      <c r="E28" s="1">
        <v>32</v>
      </c>
      <c r="F28" s="1">
        <v>32</v>
      </c>
      <c r="G28" s="1">
        <v>32</v>
      </c>
      <c r="H28" s="82">
        <v>38</v>
      </c>
      <c r="I28" s="82">
        <v>38</v>
      </c>
      <c r="J28" s="82">
        <v>38</v>
      </c>
      <c r="K28" s="42">
        <v>38</v>
      </c>
      <c r="L28" s="42">
        <v>38</v>
      </c>
      <c r="M28" s="42">
        <v>38</v>
      </c>
      <c r="N28" s="72">
        <v>42</v>
      </c>
      <c r="O28" s="72">
        <v>42</v>
      </c>
      <c r="P28" s="72">
        <v>42</v>
      </c>
      <c r="Q28" s="62">
        <v>42</v>
      </c>
      <c r="R28" s="62">
        <v>42</v>
      </c>
      <c r="S28" s="62">
        <v>42</v>
      </c>
      <c r="T28" s="102">
        <v>42</v>
      </c>
      <c r="U28" s="102">
        <v>42</v>
      </c>
      <c r="V28" s="102">
        <v>42</v>
      </c>
      <c r="W28" s="112">
        <v>42</v>
      </c>
      <c r="X28" s="112">
        <v>42</v>
      </c>
      <c r="Y28" s="112">
        <v>42</v>
      </c>
      <c r="Z28" s="122">
        <v>36</v>
      </c>
      <c r="AA28" s="122">
        <v>36</v>
      </c>
      <c r="AB28" s="122">
        <v>36</v>
      </c>
      <c r="AC28" s="132">
        <v>36</v>
      </c>
      <c r="AD28" s="132">
        <v>36</v>
      </c>
      <c r="AE28" s="132">
        <v>36</v>
      </c>
      <c r="AF28" s="142">
        <v>60</v>
      </c>
      <c r="AG28" s="142">
        <v>60</v>
      </c>
      <c r="AH28" s="153">
        <v>20</v>
      </c>
      <c r="AI28" s="153">
        <v>20</v>
      </c>
      <c r="AJ28" s="173">
        <v>50</v>
      </c>
      <c r="AK28" s="183">
        <v>50</v>
      </c>
      <c r="AL28" s="163">
        <v>50</v>
      </c>
    </row>
    <row r="29" spans="2:38" s="5" customFormat="1" x14ac:dyDescent="0.25">
      <c r="B29" s="27" t="s">
        <v>16</v>
      </c>
      <c r="C29" s="92" t="s">
        <v>77</v>
      </c>
      <c r="D29" s="92" t="s">
        <v>77</v>
      </c>
      <c r="E29" s="1">
        <v>28</v>
      </c>
      <c r="F29" s="1">
        <v>28</v>
      </c>
      <c r="G29" s="1">
        <v>28</v>
      </c>
      <c r="H29" s="82">
        <v>43</v>
      </c>
      <c r="I29" s="82">
        <v>43</v>
      </c>
      <c r="J29" s="82">
        <v>43</v>
      </c>
      <c r="K29" s="42">
        <v>43</v>
      </c>
      <c r="L29" s="42">
        <v>43</v>
      </c>
      <c r="M29" s="42">
        <v>43</v>
      </c>
      <c r="N29" s="72">
        <v>43</v>
      </c>
      <c r="O29" s="72">
        <v>43</v>
      </c>
      <c r="P29" s="72">
        <v>43</v>
      </c>
      <c r="Q29" s="62">
        <v>43</v>
      </c>
      <c r="R29" s="62">
        <v>43</v>
      </c>
      <c r="S29" s="62">
        <v>43</v>
      </c>
      <c r="T29" s="102">
        <v>33</v>
      </c>
      <c r="U29" s="102">
        <v>33</v>
      </c>
      <c r="V29" s="102">
        <v>33</v>
      </c>
      <c r="W29" s="112">
        <v>33</v>
      </c>
      <c r="X29" s="112">
        <v>33</v>
      </c>
      <c r="Y29" s="112">
        <v>33</v>
      </c>
      <c r="Z29" s="122">
        <v>43</v>
      </c>
      <c r="AA29" s="122">
        <v>43</v>
      </c>
      <c r="AB29" s="122">
        <v>43</v>
      </c>
      <c r="AC29" s="132">
        <v>43</v>
      </c>
      <c r="AD29" s="132">
        <v>43</v>
      </c>
      <c r="AE29" s="132">
        <v>43</v>
      </c>
      <c r="AF29" s="147">
        <v>48.25</v>
      </c>
      <c r="AG29" s="147">
        <v>48.25</v>
      </c>
      <c r="AH29" s="153">
        <v>43</v>
      </c>
      <c r="AI29" s="153">
        <v>43</v>
      </c>
      <c r="AJ29" s="173">
        <v>46</v>
      </c>
      <c r="AK29" s="183">
        <v>46</v>
      </c>
      <c r="AL29" s="163">
        <v>46</v>
      </c>
    </row>
    <row r="30" spans="2:38" s="5" customFormat="1" x14ac:dyDescent="0.25">
      <c r="B30" s="27" t="s">
        <v>17</v>
      </c>
      <c r="C30" s="92">
        <v>30</v>
      </c>
      <c r="D30" s="92">
        <v>30</v>
      </c>
      <c r="E30" s="1">
        <v>50</v>
      </c>
      <c r="F30" s="1">
        <v>50</v>
      </c>
      <c r="G30" s="1">
        <v>50</v>
      </c>
      <c r="H30" s="82">
        <v>100</v>
      </c>
      <c r="I30" s="82">
        <v>100</v>
      </c>
      <c r="J30" s="82">
        <v>100</v>
      </c>
      <c r="K30" s="42">
        <v>100</v>
      </c>
      <c r="L30" s="42">
        <v>100</v>
      </c>
      <c r="M30" s="42">
        <v>100</v>
      </c>
      <c r="N30" s="72">
        <v>100</v>
      </c>
      <c r="O30" s="72">
        <v>100</v>
      </c>
      <c r="P30" s="72">
        <v>100</v>
      </c>
      <c r="Q30" s="62">
        <v>100</v>
      </c>
      <c r="R30" s="62">
        <v>100</v>
      </c>
      <c r="S30" s="62">
        <v>100</v>
      </c>
      <c r="T30" s="102">
        <v>125</v>
      </c>
      <c r="U30" s="102">
        <v>125</v>
      </c>
      <c r="V30" s="102">
        <v>125</v>
      </c>
      <c r="W30" s="112">
        <v>125</v>
      </c>
      <c r="X30" s="112">
        <v>125</v>
      </c>
      <c r="Y30" s="112">
        <v>125</v>
      </c>
      <c r="Z30" s="122">
        <v>75</v>
      </c>
      <c r="AA30" s="122">
        <v>75</v>
      </c>
      <c r="AB30" s="122">
        <v>75</v>
      </c>
      <c r="AC30" s="132">
        <v>75</v>
      </c>
      <c r="AD30" s="132">
        <v>75</v>
      </c>
      <c r="AE30" s="132">
        <v>75</v>
      </c>
      <c r="AF30" s="142">
        <v>100</v>
      </c>
      <c r="AG30" s="142">
        <v>100</v>
      </c>
      <c r="AH30" s="153">
        <v>75</v>
      </c>
      <c r="AI30" s="153">
        <v>75</v>
      </c>
      <c r="AJ30" s="173">
        <v>100</v>
      </c>
      <c r="AK30" s="192">
        <v>100</v>
      </c>
      <c r="AL30" s="163">
        <v>100</v>
      </c>
    </row>
    <row r="31" spans="2:38" s="17" customFormat="1" x14ac:dyDescent="0.25"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/>
    </row>
    <row r="32" spans="2:38" s="25" customFormat="1" ht="21" x14ac:dyDescent="0.25">
      <c r="B32" s="29" t="s">
        <v>0</v>
      </c>
      <c r="C32" s="51" t="s">
        <v>50</v>
      </c>
      <c r="D32" s="26"/>
      <c r="E32" s="51" t="s">
        <v>48</v>
      </c>
      <c r="F32" s="26"/>
      <c r="G32" s="26"/>
      <c r="H32" s="51" t="s">
        <v>37</v>
      </c>
      <c r="I32" s="26"/>
      <c r="J32" s="26"/>
      <c r="K32" s="51" t="s">
        <v>40</v>
      </c>
      <c r="L32" s="26"/>
      <c r="M32" s="26"/>
      <c r="N32" s="51" t="s">
        <v>33</v>
      </c>
      <c r="O32" s="26"/>
      <c r="P32" s="26"/>
      <c r="Q32" s="51" t="s">
        <v>36</v>
      </c>
      <c r="R32" s="26"/>
      <c r="S32" s="26"/>
      <c r="T32" s="51" t="s">
        <v>43</v>
      </c>
      <c r="U32" s="26"/>
      <c r="V32" s="26"/>
      <c r="W32" s="51" t="s">
        <v>45</v>
      </c>
      <c r="X32" s="26"/>
      <c r="Y32" s="26"/>
      <c r="Z32" s="51" t="s">
        <v>19</v>
      </c>
      <c r="AA32" s="26"/>
      <c r="AB32" s="26"/>
      <c r="AC32" s="51" t="s">
        <v>20</v>
      </c>
      <c r="AD32" s="26"/>
      <c r="AE32" s="26"/>
      <c r="AF32" s="51" t="s">
        <v>52</v>
      </c>
      <c r="AG32" s="26"/>
      <c r="AH32" s="51" t="s">
        <v>2</v>
      </c>
      <c r="AI32" s="26"/>
      <c r="AJ32" s="51" t="s">
        <v>3</v>
      </c>
      <c r="AK32" s="51" t="s">
        <v>18</v>
      </c>
      <c r="AL32" s="57"/>
    </row>
    <row r="33" spans="1:38" s="5" customFormat="1" x14ac:dyDescent="0.25">
      <c r="B33" s="58" t="s">
        <v>56</v>
      </c>
      <c r="C33" s="97">
        <f>(19*0.3048)+(11*0.0254)</f>
        <v>6.0705999999999998</v>
      </c>
      <c r="D33" s="97">
        <f>(19*0.3048)+(11*0.0254)</f>
        <v>6.0705999999999998</v>
      </c>
      <c r="E33" s="59">
        <f t="shared" ref="E33:M33" si="5">(23*0.3048)+(0*0.0254)</f>
        <v>7.0104000000000006</v>
      </c>
      <c r="F33" s="59">
        <f t="shared" si="5"/>
        <v>7.0104000000000006</v>
      </c>
      <c r="G33" s="59">
        <f t="shared" si="5"/>
        <v>7.0104000000000006</v>
      </c>
      <c r="H33" s="87">
        <f t="shared" si="5"/>
        <v>7.0104000000000006</v>
      </c>
      <c r="I33" s="87">
        <f t="shared" si="5"/>
        <v>7.0104000000000006</v>
      </c>
      <c r="J33" s="87">
        <f t="shared" si="5"/>
        <v>7.0104000000000006</v>
      </c>
      <c r="K33" s="60">
        <f t="shared" si="5"/>
        <v>7.0104000000000006</v>
      </c>
      <c r="L33" s="60">
        <f t="shared" si="5"/>
        <v>7.0104000000000006</v>
      </c>
      <c r="M33" s="60">
        <f t="shared" si="5"/>
        <v>7.0104000000000006</v>
      </c>
      <c r="N33" s="77">
        <f t="shared" ref="N33:S33" si="6">(25*0.3048)+(0*0.0254)</f>
        <v>7.62</v>
      </c>
      <c r="O33" s="77">
        <f t="shared" si="6"/>
        <v>7.62</v>
      </c>
      <c r="P33" s="77">
        <f t="shared" si="6"/>
        <v>7.62</v>
      </c>
      <c r="Q33" s="67">
        <f t="shared" si="6"/>
        <v>7.62</v>
      </c>
      <c r="R33" s="67">
        <f t="shared" si="6"/>
        <v>7.62</v>
      </c>
      <c r="S33" s="67">
        <f t="shared" si="6"/>
        <v>7.62</v>
      </c>
      <c r="T33" s="107">
        <f t="shared" ref="T33:Y33" si="7">(24*0.3048)+(0*0.0254)</f>
        <v>7.3152000000000008</v>
      </c>
      <c r="U33" s="107">
        <f t="shared" si="7"/>
        <v>7.3152000000000008</v>
      </c>
      <c r="V33" s="107">
        <f t="shared" si="7"/>
        <v>7.3152000000000008</v>
      </c>
      <c r="W33" s="117">
        <f t="shared" si="7"/>
        <v>7.3152000000000008</v>
      </c>
      <c r="X33" s="117">
        <f t="shared" si="7"/>
        <v>7.3152000000000008</v>
      </c>
      <c r="Y33" s="117">
        <f t="shared" si="7"/>
        <v>7.3152000000000008</v>
      </c>
      <c r="Z33" s="127">
        <f t="shared" ref="Z33:AE33" si="8">(28*0.3048)+(0*0.0254)</f>
        <v>8.5343999999999998</v>
      </c>
      <c r="AA33" s="127">
        <f t="shared" si="8"/>
        <v>8.5343999999999998</v>
      </c>
      <c r="AB33" s="127">
        <f t="shared" si="8"/>
        <v>8.5343999999999998</v>
      </c>
      <c r="AC33" s="137">
        <f t="shared" si="8"/>
        <v>8.5343999999999998</v>
      </c>
      <c r="AD33" s="137">
        <f t="shared" si="8"/>
        <v>8.5343999999999998</v>
      </c>
      <c r="AE33" s="137">
        <f t="shared" si="8"/>
        <v>8.5343999999999998</v>
      </c>
      <c r="AF33" s="148">
        <f>(31*0.3048)+(9*0.0254)</f>
        <v>9.6774000000000004</v>
      </c>
      <c r="AG33" s="148">
        <f>(31*0.3048)+(9*0.0254)</f>
        <v>9.6774000000000004</v>
      </c>
      <c r="AH33" s="158">
        <f>(26*0.3048)+(9*0.0254)</f>
        <v>8.1533999999999995</v>
      </c>
      <c r="AI33" s="158">
        <f>(26*0.3048)+(9*0.0254)</f>
        <v>8.1533999999999995</v>
      </c>
      <c r="AJ33" s="178">
        <f>(27*0.3048)+(0*0.0254)</f>
        <v>8.2295999999999996</v>
      </c>
      <c r="AK33" s="188">
        <f>(27*0.3048)+(0*0.0254)</f>
        <v>8.2295999999999996</v>
      </c>
      <c r="AL33" s="168">
        <f>(27*0.3048)+(0*0.0254)</f>
        <v>8.2295999999999996</v>
      </c>
    </row>
    <row r="34" spans="1:38" s="5" customFormat="1" x14ac:dyDescent="0.25">
      <c r="B34" s="27" t="s">
        <v>57</v>
      </c>
      <c r="C34" s="97">
        <f>(19*0.3048)+(0*0.0254)</f>
        <v>5.7911999999999999</v>
      </c>
      <c r="D34" s="97">
        <f>(19*0.3048)+(0*0.0254)</f>
        <v>5.7911999999999999</v>
      </c>
      <c r="E34" s="59">
        <f>(20*0.3048)+(4*0.0254)</f>
        <v>6.1976000000000004</v>
      </c>
      <c r="F34" s="59">
        <f>(20*0.3048)+(4*0.0254)</f>
        <v>6.1976000000000004</v>
      </c>
      <c r="G34" s="59">
        <f>(20*0.3048)+(4*0.0254)</f>
        <v>6.1976000000000004</v>
      </c>
      <c r="H34" s="87">
        <f>(20*0.3048)+(2*0.0254)</f>
        <v>6.1467999999999998</v>
      </c>
      <c r="I34" s="87">
        <f>(20*0.3048)+(2*0.0254)</f>
        <v>6.1467999999999998</v>
      </c>
      <c r="J34" s="87">
        <f>(20*0.3048)+(2*0.0254)</f>
        <v>6.1467999999999998</v>
      </c>
      <c r="K34" s="60">
        <f>(19*0.3048)+(9*0.0254)</f>
        <v>6.0198</v>
      </c>
      <c r="L34" s="60">
        <f>(19*0.3048)+(9*0.0254)</f>
        <v>6.0198</v>
      </c>
      <c r="M34" s="60">
        <f>(19*0.3048)+(9*0.0254)</f>
        <v>6.0198</v>
      </c>
      <c r="N34" s="77">
        <f t="shared" ref="N34:S34" si="9">(20*0.3048)+(4*0.0254)</f>
        <v>6.1976000000000004</v>
      </c>
      <c r="O34" s="77">
        <f t="shared" si="9"/>
        <v>6.1976000000000004</v>
      </c>
      <c r="P34" s="77">
        <f t="shared" si="9"/>
        <v>6.1976000000000004</v>
      </c>
      <c r="Q34" s="67">
        <f t="shared" si="9"/>
        <v>6.1976000000000004</v>
      </c>
      <c r="R34" s="67">
        <f t="shared" si="9"/>
        <v>6.1976000000000004</v>
      </c>
      <c r="S34" s="67">
        <f t="shared" si="9"/>
        <v>6.1976000000000004</v>
      </c>
      <c r="T34" s="107">
        <f>(21*0.3048)+(0*0.0254)</f>
        <v>6.4008000000000003</v>
      </c>
      <c r="U34" s="107">
        <f>(21*0.3048)+(0*0.0254)</f>
        <v>6.4008000000000003</v>
      </c>
      <c r="V34" s="107">
        <f>(21*0.3048)+(0*0.0254)</f>
        <v>6.4008000000000003</v>
      </c>
      <c r="W34" s="117">
        <f>(20*0.3048)+(10*0.0254)</f>
        <v>6.35</v>
      </c>
      <c r="X34" s="117">
        <f>(20*0.3048)+(10*0.0254)</f>
        <v>6.35</v>
      </c>
      <c r="Y34" s="117">
        <f>(20*0.3048)+(10*0.0254)</f>
        <v>6.35</v>
      </c>
      <c r="Z34" s="127">
        <f t="shared" ref="Z34:AE34" si="10">(20*0.3048)+(5*0.0254)</f>
        <v>6.2229999999999999</v>
      </c>
      <c r="AA34" s="127">
        <f t="shared" si="10"/>
        <v>6.2229999999999999</v>
      </c>
      <c r="AB34" s="127">
        <f t="shared" si="10"/>
        <v>6.2229999999999999</v>
      </c>
      <c r="AC34" s="137">
        <f t="shared" si="10"/>
        <v>6.2229999999999999</v>
      </c>
      <c r="AD34" s="137">
        <f t="shared" si="10"/>
        <v>6.2229999999999999</v>
      </c>
      <c r="AE34" s="137">
        <f t="shared" si="10"/>
        <v>6.2229999999999999</v>
      </c>
      <c r="AF34" s="148">
        <f>(24*0.3048)+(5*0.0254)</f>
        <v>7.4422000000000006</v>
      </c>
      <c r="AG34" s="148">
        <f>(24*0.3048)+(5*0.0254)</f>
        <v>7.4422000000000006</v>
      </c>
      <c r="AH34" s="158">
        <f>(19*0.3048)+(11*0.0254)</f>
        <v>6.0705999999999998</v>
      </c>
      <c r="AI34" s="158">
        <f>(19*0.3048)+(11*0.0254)</f>
        <v>6.0705999999999998</v>
      </c>
      <c r="AJ34" s="178">
        <f>(21*0.3048)+(1*0.0254)</f>
        <v>6.4262000000000006</v>
      </c>
      <c r="AK34" s="188">
        <f>(21*0.3048)+(1*0.0254)</f>
        <v>6.4262000000000006</v>
      </c>
      <c r="AL34" s="168">
        <f>(21*0.3048)+(1*0.0254)</f>
        <v>6.4262000000000006</v>
      </c>
    </row>
    <row r="35" spans="1:38" s="5" customFormat="1" x14ac:dyDescent="0.25">
      <c r="B35" s="27" t="s">
        <v>58</v>
      </c>
      <c r="C35" s="95">
        <f>(5*0.3048)+(0*0.0254)</f>
        <v>1.524</v>
      </c>
      <c r="D35" s="95">
        <f>(5*0.3048)+(0*0.0254)</f>
        <v>1.524</v>
      </c>
      <c r="E35" s="2">
        <f>(5*0.3048)+(5*0.0254)</f>
        <v>1.651</v>
      </c>
      <c r="F35" s="2">
        <f>(5*0.3048)+(5*0.0254)</f>
        <v>1.651</v>
      </c>
      <c r="G35" s="2">
        <f>(5*0.3048)+(5*0.0254)</f>
        <v>1.651</v>
      </c>
      <c r="H35" s="85">
        <f>(5*0.3048)+(3*0.0254)</f>
        <v>1.6002000000000001</v>
      </c>
      <c r="I35" s="85">
        <f>(5*0.3048)+(3*0.0254)</f>
        <v>1.6002000000000001</v>
      </c>
      <c r="J35" s="85">
        <f>(5*0.3048)+(3*0.0254)</f>
        <v>1.6002000000000001</v>
      </c>
      <c r="K35" s="45">
        <f>(6*0.3048)+(8*0.0254)</f>
        <v>2.032</v>
      </c>
      <c r="L35" s="45">
        <f>(6*0.3048)+(8*0.0254)</f>
        <v>2.032</v>
      </c>
      <c r="M35" s="45">
        <f>(6*0.3048)+(8*0.0254)</f>
        <v>2.032</v>
      </c>
      <c r="N35" s="75">
        <f>(5*0.3048)+(10*0.0254)</f>
        <v>1.778</v>
      </c>
      <c r="O35" s="75">
        <f>(5*0.3048)+(10*0.0254)</f>
        <v>1.778</v>
      </c>
      <c r="P35" s="75">
        <f>(5*0.3048)+(10*0.0254)</f>
        <v>1.778</v>
      </c>
      <c r="Q35" s="65">
        <f>(7*0.3048)+(10*0.0254)</f>
        <v>2.3875999999999999</v>
      </c>
      <c r="R35" s="65">
        <f>(7*0.3048)+(10*0.0254)</f>
        <v>2.3875999999999999</v>
      </c>
      <c r="S35" s="65">
        <f>(7*0.3048)+(10*0.0254)</f>
        <v>2.3875999999999999</v>
      </c>
      <c r="T35" s="105">
        <f>(5*0.3048)+(7*0.0254)</f>
        <v>1.7018</v>
      </c>
      <c r="U35" s="105">
        <f>(5*0.3048)+(7*0.0254)</f>
        <v>1.7018</v>
      </c>
      <c r="V35" s="105">
        <f>(5*0.3048)+(7*0.0254)</f>
        <v>1.7018</v>
      </c>
      <c r="W35" s="115">
        <f>(7*0.3048)+(4*0.0254)</f>
        <v>2.2351999999999999</v>
      </c>
      <c r="X35" s="115">
        <f>(7*0.3048)+(4*0.0254)</f>
        <v>2.2351999999999999</v>
      </c>
      <c r="Y35" s="115">
        <f>(7*0.3048)+(4*0.0254)</f>
        <v>2.2351999999999999</v>
      </c>
      <c r="Z35" s="125">
        <f>(6*0.3048)+(0*0.0254)</f>
        <v>1.8288000000000002</v>
      </c>
      <c r="AA35" s="125">
        <f>(6*0.3048)+(0*0.0254)</f>
        <v>1.8288000000000002</v>
      </c>
      <c r="AB35" s="125">
        <f>(6*0.3048)+(0*0.0254)</f>
        <v>1.8288000000000002</v>
      </c>
      <c r="AC35" s="135">
        <f>(7*0.3048)+(10*0.0254)</f>
        <v>2.3875999999999999</v>
      </c>
      <c r="AD35" s="135">
        <f>(7*0.3048)+(10*0.0254)</f>
        <v>2.3875999999999999</v>
      </c>
      <c r="AE35" s="135">
        <f>(7*0.3048)+(10*0.0254)</f>
        <v>2.3875999999999999</v>
      </c>
      <c r="AF35" s="145">
        <f>(8*0.3048)+(8*0.0254)</f>
        <v>2.6415999999999999</v>
      </c>
      <c r="AG35" s="145">
        <f>(8*0.3048)+(8*0.0254)</f>
        <v>2.6415999999999999</v>
      </c>
      <c r="AH35" s="156">
        <f>(8*0.3048)+(4*0.0254)</f>
        <v>2.54</v>
      </c>
      <c r="AI35" s="156">
        <f t="shared" ref="AI35" si="11">(8*0.3048)+(4*0.0254)</f>
        <v>2.54</v>
      </c>
      <c r="AJ35" s="176">
        <f>(5*0.3048)+(11.75*0.0254)</f>
        <v>1.8224499999999999</v>
      </c>
      <c r="AK35" s="186">
        <f>(8*0.3048)+(2*0.0254)</f>
        <v>2.4892000000000003</v>
      </c>
      <c r="AL35" s="166">
        <f>(8*0.3048)+(2*0.0254)</f>
        <v>2.4892000000000003</v>
      </c>
    </row>
    <row r="36" spans="1:38" s="5" customFormat="1" x14ac:dyDescent="0.25">
      <c r="B36" s="27" t="s">
        <v>59</v>
      </c>
      <c r="C36" s="95">
        <f>90*0.092903</f>
        <v>8.3612699999999993</v>
      </c>
      <c r="D36" s="95">
        <f>90*0.092903</f>
        <v>8.3612699999999993</v>
      </c>
      <c r="E36" s="2">
        <f t="shared" ref="E36:M36" si="12">110*0.092903</f>
        <v>10.219329999999999</v>
      </c>
      <c r="F36" s="2">
        <f t="shared" si="12"/>
        <v>10.219329999999999</v>
      </c>
      <c r="G36" s="2">
        <f t="shared" si="12"/>
        <v>10.219329999999999</v>
      </c>
      <c r="H36" s="85">
        <f t="shared" si="12"/>
        <v>10.219329999999999</v>
      </c>
      <c r="I36" s="85">
        <f t="shared" si="12"/>
        <v>10.219329999999999</v>
      </c>
      <c r="J36" s="85">
        <f t="shared" si="12"/>
        <v>10.219329999999999</v>
      </c>
      <c r="K36" s="45">
        <f t="shared" si="12"/>
        <v>10.219329999999999</v>
      </c>
      <c r="L36" s="45">
        <f t="shared" si="12"/>
        <v>10.219329999999999</v>
      </c>
      <c r="M36" s="45">
        <f t="shared" si="12"/>
        <v>10.219329999999999</v>
      </c>
      <c r="N36" s="75">
        <f t="shared" ref="N36:S36" si="13">121*0.092903</f>
        <v>11.241263</v>
      </c>
      <c r="O36" s="75">
        <f t="shared" si="13"/>
        <v>11.241263</v>
      </c>
      <c r="P36" s="75">
        <f t="shared" si="13"/>
        <v>11.241263</v>
      </c>
      <c r="Q36" s="65">
        <f t="shared" si="13"/>
        <v>11.241263</v>
      </c>
      <c r="R36" s="65">
        <f t="shared" si="13"/>
        <v>11.241263</v>
      </c>
      <c r="S36" s="65">
        <f t="shared" si="13"/>
        <v>11.241263</v>
      </c>
      <c r="T36" s="105">
        <f t="shared" ref="T36:Y36" si="14">116*0.092903</f>
        <v>10.776748</v>
      </c>
      <c r="U36" s="105">
        <f t="shared" si="14"/>
        <v>10.776748</v>
      </c>
      <c r="V36" s="105">
        <f t="shared" si="14"/>
        <v>10.776748</v>
      </c>
      <c r="W36" s="115">
        <f t="shared" si="14"/>
        <v>10.776748</v>
      </c>
      <c r="X36" s="115">
        <f t="shared" si="14"/>
        <v>10.776748</v>
      </c>
      <c r="Y36" s="115">
        <f t="shared" si="14"/>
        <v>10.776748</v>
      </c>
      <c r="Z36" s="125">
        <f t="shared" ref="Z36:AE36" si="15">124*0.092903</f>
        <v>11.519971999999999</v>
      </c>
      <c r="AA36" s="125">
        <f t="shared" si="15"/>
        <v>11.519971999999999</v>
      </c>
      <c r="AB36" s="125">
        <f t="shared" si="15"/>
        <v>11.519971999999999</v>
      </c>
      <c r="AC36" s="135">
        <f t="shared" si="15"/>
        <v>11.519971999999999</v>
      </c>
      <c r="AD36" s="135">
        <f t="shared" si="15"/>
        <v>11.519971999999999</v>
      </c>
      <c r="AE36" s="135">
        <f t="shared" si="15"/>
        <v>11.519971999999999</v>
      </c>
      <c r="AF36" s="145">
        <f>148*0.092903</f>
        <v>13.749644</v>
      </c>
      <c r="AG36" s="145">
        <f>148*0.092903</f>
        <v>13.749644</v>
      </c>
      <c r="AH36" s="156">
        <f>127*0.092903</f>
        <v>11.798681</v>
      </c>
      <c r="AI36" s="156">
        <f>127*0.092903</f>
        <v>11.798681</v>
      </c>
      <c r="AJ36" s="176">
        <f>126.1*0.092903</f>
        <v>11.715068299999999</v>
      </c>
      <c r="AK36" s="186">
        <f>126.1*0.092903</f>
        <v>11.715068299999999</v>
      </c>
      <c r="AL36" s="166">
        <f>126.1*0.092903</f>
        <v>11.715068299999999</v>
      </c>
    </row>
    <row r="37" spans="1:38" s="33" customFormat="1" x14ac:dyDescent="0.25">
      <c r="B37" s="31" t="s">
        <v>60</v>
      </c>
      <c r="C37" s="93">
        <f>C23*0.453592</f>
        <v>318.87517600000001</v>
      </c>
      <c r="D37" s="93">
        <f t="shared" ref="D37:AL37" si="16">D23*0.453592</f>
        <v>340.19400000000002</v>
      </c>
      <c r="E37" s="32">
        <f t="shared" si="16"/>
        <v>409.59357599999998</v>
      </c>
      <c r="F37" s="32">
        <f t="shared" si="16"/>
        <v>411.861536</v>
      </c>
      <c r="G37" s="32">
        <f t="shared" si="16"/>
        <v>414.12949600000002</v>
      </c>
      <c r="H37" s="83">
        <f t="shared" si="16"/>
        <v>437.71627999999998</v>
      </c>
      <c r="I37" s="83">
        <f t="shared" si="16"/>
        <v>437.71627999999998</v>
      </c>
      <c r="J37" s="83">
        <f t="shared" si="16"/>
        <v>437.71627999999998</v>
      </c>
      <c r="K37" s="43">
        <f t="shared" si="16"/>
        <v>446.78811999999999</v>
      </c>
      <c r="L37" s="43">
        <f t="shared" si="16"/>
        <v>446.78811999999999</v>
      </c>
      <c r="M37" s="43">
        <f t="shared" si="16"/>
        <v>446.78811999999999</v>
      </c>
      <c r="N37" s="73">
        <f t="shared" si="16"/>
        <v>481.26111199999997</v>
      </c>
      <c r="O37" s="73">
        <f t="shared" si="16"/>
        <v>493.28129999999999</v>
      </c>
      <c r="P37" s="73">
        <f t="shared" si="16"/>
        <v>505.30148800000001</v>
      </c>
      <c r="Q37" s="63">
        <f t="shared" si="16"/>
        <v>488.51858399999998</v>
      </c>
      <c r="R37" s="63">
        <f t="shared" si="16"/>
        <v>500.53877199999999</v>
      </c>
      <c r="S37" s="63">
        <f t="shared" si="16"/>
        <v>512.55895999999996</v>
      </c>
      <c r="T37" s="103">
        <f t="shared" si="16"/>
        <v>483.982664</v>
      </c>
      <c r="U37" s="103">
        <f t="shared" si="16"/>
        <v>496.00285200000002</v>
      </c>
      <c r="V37" s="103">
        <f t="shared" si="16"/>
        <v>508.02303999999998</v>
      </c>
      <c r="W37" s="113">
        <f t="shared" si="16"/>
        <v>488.51858399999998</v>
      </c>
      <c r="X37" s="113">
        <f t="shared" si="16"/>
        <v>498.27081199999998</v>
      </c>
      <c r="Y37" s="113">
        <f t="shared" si="16"/>
        <v>508.02303999999998</v>
      </c>
      <c r="Z37" s="123">
        <f t="shared" si="16"/>
        <v>460.39587999999998</v>
      </c>
      <c r="AA37" s="123">
        <f t="shared" si="16"/>
        <v>469.921312</v>
      </c>
      <c r="AB37" s="123">
        <f t="shared" si="16"/>
        <v>479.44674399999997</v>
      </c>
      <c r="AC37" s="133">
        <f t="shared" si="16"/>
        <v>466.292576</v>
      </c>
      <c r="AD37" s="133">
        <f t="shared" si="16"/>
        <v>472.86966000000001</v>
      </c>
      <c r="AE37" s="133">
        <f t="shared" si="16"/>
        <v>479.44674399999997</v>
      </c>
      <c r="AF37" s="143">
        <f t="shared" si="16"/>
        <v>689.45983999999999</v>
      </c>
      <c r="AG37" s="143">
        <f t="shared" si="16"/>
        <v>739.35496000000001</v>
      </c>
      <c r="AH37" s="154">
        <f t="shared" si="16"/>
        <v>351.53379999999999</v>
      </c>
      <c r="AI37" s="154">
        <f t="shared" si="16"/>
        <v>351.53379999999999</v>
      </c>
      <c r="AJ37" s="174">
        <f t="shared" si="16"/>
        <v>555.65020000000004</v>
      </c>
      <c r="AK37" s="184">
        <f t="shared" si="16"/>
        <v>562.45407999999998</v>
      </c>
      <c r="AL37" s="164">
        <f t="shared" si="16"/>
        <v>562.45407999999998</v>
      </c>
    </row>
    <row r="38" spans="1:38" s="33" customFormat="1" x14ac:dyDescent="0.25">
      <c r="B38" s="31" t="s">
        <v>61</v>
      </c>
      <c r="C38" s="93">
        <f>C24*0.453592</f>
        <v>498.95119999999997</v>
      </c>
      <c r="D38" s="93">
        <f t="shared" ref="D38:AL38" si="17">D24*0.453592</f>
        <v>498.95119999999997</v>
      </c>
      <c r="E38" s="32">
        <f t="shared" si="17"/>
        <v>680.38800000000003</v>
      </c>
      <c r="F38" s="32">
        <f t="shared" si="17"/>
        <v>680.38800000000003</v>
      </c>
      <c r="G38" s="32">
        <f t="shared" si="17"/>
        <v>680.38800000000003</v>
      </c>
      <c r="H38" s="83">
        <f t="shared" si="17"/>
        <v>748.42679999999996</v>
      </c>
      <c r="I38" s="83">
        <f t="shared" si="17"/>
        <v>748.42679999999996</v>
      </c>
      <c r="J38" s="83">
        <f t="shared" si="17"/>
        <v>748.42679999999996</v>
      </c>
      <c r="K38" s="43">
        <f t="shared" si="17"/>
        <v>748.42679999999996</v>
      </c>
      <c r="L38" s="43">
        <f t="shared" si="17"/>
        <v>748.42679999999996</v>
      </c>
      <c r="M38" s="43">
        <f t="shared" si="17"/>
        <v>748.42679999999996</v>
      </c>
      <c r="N38" s="73">
        <f t="shared" si="17"/>
        <v>816.46559999999999</v>
      </c>
      <c r="O38" s="73">
        <f t="shared" si="17"/>
        <v>816.46559999999999</v>
      </c>
      <c r="P38" s="73">
        <f t="shared" si="17"/>
        <v>816.46559999999999</v>
      </c>
      <c r="Q38" s="63">
        <f t="shared" si="17"/>
        <v>816.46559999999999</v>
      </c>
      <c r="R38" s="63">
        <f t="shared" si="17"/>
        <v>816.46559999999999</v>
      </c>
      <c r="S38" s="63">
        <f t="shared" si="17"/>
        <v>816.46559999999999</v>
      </c>
      <c r="T38" s="103">
        <f t="shared" si="17"/>
        <v>816.46559999999999</v>
      </c>
      <c r="U38" s="103">
        <f t="shared" si="17"/>
        <v>816.46559999999999</v>
      </c>
      <c r="V38" s="103">
        <f t="shared" si="17"/>
        <v>816.46559999999999</v>
      </c>
      <c r="W38" s="113">
        <f t="shared" si="17"/>
        <v>816.46559999999999</v>
      </c>
      <c r="X38" s="113">
        <f t="shared" si="17"/>
        <v>816.46559999999999</v>
      </c>
      <c r="Y38" s="113">
        <f t="shared" si="17"/>
        <v>816.46559999999999</v>
      </c>
      <c r="Z38" s="123">
        <f t="shared" si="17"/>
        <v>793.78599999999994</v>
      </c>
      <c r="AA38" s="123">
        <f t="shared" si="17"/>
        <v>793.78599999999994</v>
      </c>
      <c r="AB38" s="123">
        <f t="shared" si="17"/>
        <v>793.78599999999994</v>
      </c>
      <c r="AC38" s="133">
        <f t="shared" si="17"/>
        <v>793.78599999999994</v>
      </c>
      <c r="AD38" s="133">
        <f t="shared" si="17"/>
        <v>793.78599999999994</v>
      </c>
      <c r="AE38" s="133">
        <f t="shared" si="17"/>
        <v>793.78599999999994</v>
      </c>
      <c r="AF38" s="143">
        <f t="shared" si="17"/>
        <v>1224.6984</v>
      </c>
      <c r="AG38" s="143">
        <f t="shared" si="17"/>
        <v>1224.6984</v>
      </c>
      <c r="AH38" s="154">
        <f t="shared" si="17"/>
        <v>598.74144000000001</v>
      </c>
      <c r="AI38" s="154">
        <f t="shared" si="17"/>
        <v>598.74144000000001</v>
      </c>
      <c r="AJ38" s="174">
        <f t="shared" si="17"/>
        <v>929.86360000000002</v>
      </c>
      <c r="AK38" s="184">
        <f t="shared" si="17"/>
        <v>929.86360000000002</v>
      </c>
      <c r="AL38" s="164">
        <f t="shared" si="17"/>
        <v>929.86360000000002</v>
      </c>
    </row>
    <row r="39" spans="1:38" s="33" customFormat="1" x14ac:dyDescent="0.25">
      <c r="B39" s="31" t="s">
        <v>67</v>
      </c>
      <c r="C39" s="93">
        <f t="shared" ref="C39:AE39" si="18">C38-C37</f>
        <v>180.07602399999996</v>
      </c>
      <c r="D39" s="93">
        <f t="shared" si="18"/>
        <v>158.75719999999995</v>
      </c>
      <c r="E39" s="32">
        <f t="shared" si="18"/>
        <v>270.79442400000005</v>
      </c>
      <c r="F39" s="32">
        <f t="shared" si="18"/>
        <v>268.52646400000003</v>
      </c>
      <c r="G39" s="32">
        <f t="shared" si="18"/>
        <v>266.25850400000002</v>
      </c>
      <c r="H39" s="83">
        <f t="shared" si="18"/>
        <v>310.71051999999997</v>
      </c>
      <c r="I39" s="83">
        <f t="shared" si="18"/>
        <v>310.71051999999997</v>
      </c>
      <c r="J39" s="83">
        <f t="shared" si="18"/>
        <v>310.71051999999997</v>
      </c>
      <c r="K39" s="43">
        <f t="shared" si="18"/>
        <v>301.63867999999997</v>
      </c>
      <c r="L39" s="43">
        <f t="shared" si="18"/>
        <v>301.63867999999997</v>
      </c>
      <c r="M39" s="43">
        <f t="shared" si="18"/>
        <v>301.63867999999997</v>
      </c>
      <c r="N39" s="73">
        <f t="shared" si="18"/>
        <v>335.20448800000003</v>
      </c>
      <c r="O39" s="73">
        <f t="shared" si="18"/>
        <v>323.18430000000001</v>
      </c>
      <c r="P39" s="73">
        <f t="shared" si="18"/>
        <v>311.16411199999999</v>
      </c>
      <c r="Q39" s="63">
        <f t="shared" si="18"/>
        <v>327.94701600000002</v>
      </c>
      <c r="R39" s="63">
        <f t="shared" si="18"/>
        <v>315.926828</v>
      </c>
      <c r="S39" s="63">
        <f t="shared" si="18"/>
        <v>303.90664000000004</v>
      </c>
      <c r="T39" s="103">
        <f t="shared" si="18"/>
        <v>332.482936</v>
      </c>
      <c r="U39" s="103">
        <f t="shared" si="18"/>
        <v>320.46274799999998</v>
      </c>
      <c r="V39" s="103">
        <f t="shared" si="18"/>
        <v>308.44256000000001</v>
      </c>
      <c r="W39" s="113">
        <f t="shared" si="18"/>
        <v>327.94701600000002</v>
      </c>
      <c r="X39" s="113">
        <f t="shared" si="18"/>
        <v>318.19478800000002</v>
      </c>
      <c r="Y39" s="113">
        <f t="shared" si="18"/>
        <v>308.44256000000001</v>
      </c>
      <c r="Z39" s="123">
        <f t="shared" si="18"/>
        <v>333.39011999999997</v>
      </c>
      <c r="AA39" s="123">
        <f t="shared" si="18"/>
        <v>323.86468799999994</v>
      </c>
      <c r="AB39" s="123">
        <f t="shared" si="18"/>
        <v>314.33925599999998</v>
      </c>
      <c r="AC39" s="133">
        <f t="shared" si="18"/>
        <v>327.49342399999995</v>
      </c>
      <c r="AD39" s="133">
        <f t="shared" si="18"/>
        <v>320.91633999999993</v>
      </c>
      <c r="AE39" s="133">
        <f t="shared" si="18"/>
        <v>314.33925599999998</v>
      </c>
      <c r="AF39" s="143">
        <f t="shared" ref="AF39:AG39" si="19">AF38-AF37</f>
        <v>535.23856000000001</v>
      </c>
      <c r="AG39" s="143">
        <f t="shared" si="19"/>
        <v>485.34343999999999</v>
      </c>
      <c r="AH39" s="154">
        <f>AH38-AH37</f>
        <v>247.20764000000003</v>
      </c>
      <c r="AI39" s="154">
        <f>AI38-AI37</f>
        <v>247.20764000000003</v>
      </c>
      <c r="AJ39" s="174">
        <f>AJ38-AJ37</f>
        <v>374.21339999999998</v>
      </c>
      <c r="AK39" s="184">
        <f>AK38-AK37</f>
        <v>367.40952000000004</v>
      </c>
      <c r="AL39" s="164">
        <f>AL38-AL37</f>
        <v>367.40952000000004</v>
      </c>
    </row>
    <row r="40" spans="1:38" s="33" customFormat="1" x14ac:dyDescent="0.25">
      <c r="B40" s="31" t="s">
        <v>62</v>
      </c>
      <c r="C40" s="93">
        <f t="shared" ref="C40:AE40" si="20">C38/C36</f>
        <v>59.674092572061426</v>
      </c>
      <c r="D40" s="93">
        <f t="shared" ref="D40" si="21">D38/D36</f>
        <v>59.674092572061426</v>
      </c>
      <c r="E40" s="32">
        <f t="shared" ref="E40" si="22">E38/E36</f>
        <v>66.57853303494457</v>
      </c>
      <c r="F40" s="32">
        <f t="shared" si="20"/>
        <v>66.57853303494457</v>
      </c>
      <c r="G40" s="32">
        <f t="shared" ref="G40" si="23">G38/G36</f>
        <v>66.57853303494457</v>
      </c>
      <c r="H40" s="83">
        <f t="shared" si="20"/>
        <v>73.236386338439019</v>
      </c>
      <c r="I40" s="83">
        <f t="shared" ref="I40" si="24">I38/I36</f>
        <v>73.236386338439019</v>
      </c>
      <c r="J40" s="83">
        <f t="shared" ref="J40" si="25">J38/J36</f>
        <v>73.236386338439019</v>
      </c>
      <c r="K40" s="43">
        <f t="shared" si="20"/>
        <v>73.236386338439019</v>
      </c>
      <c r="L40" s="43">
        <f t="shared" ref="L40" si="26">L38/L36</f>
        <v>73.236386338439019</v>
      </c>
      <c r="M40" s="43">
        <f t="shared" ref="M40" si="27">M38/M36</f>
        <v>73.236386338439019</v>
      </c>
      <c r="N40" s="73">
        <f t="shared" si="20"/>
        <v>72.631126947212252</v>
      </c>
      <c r="O40" s="73">
        <f t="shared" ref="O40" si="28">O38/O36</f>
        <v>72.631126947212252</v>
      </c>
      <c r="P40" s="73">
        <f t="shared" ref="P40:R40" si="29">P38/P36</f>
        <v>72.631126947212252</v>
      </c>
      <c r="Q40" s="63">
        <f t="shared" si="29"/>
        <v>72.631126947212252</v>
      </c>
      <c r="R40" s="63">
        <f t="shared" si="29"/>
        <v>72.631126947212252</v>
      </c>
      <c r="S40" s="63">
        <f t="shared" si="20"/>
        <v>72.631126947212252</v>
      </c>
      <c r="T40" s="103">
        <f t="shared" ref="T40" si="30">T38/T36</f>
        <v>75.761778970798986</v>
      </c>
      <c r="U40" s="103">
        <f t="shared" ref="U40" si="31">U38/U36</f>
        <v>75.761778970798986</v>
      </c>
      <c r="V40" s="103">
        <f t="shared" si="20"/>
        <v>75.761778970798986</v>
      </c>
      <c r="W40" s="113">
        <f t="shared" ref="W40" si="32">W38/W36</f>
        <v>75.761778970798986</v>
      </c>
      <c r="X40" s="113">
        <f t="shared" ref="X40" si="33">X38/X36</f>
        <v>75.761778970798986</v>
      </c>
      <c r="Y40" s="113">
        <f t="shared" si="20"/>
        <v>75.761778970798986</v>
      </c>
      <c r="Z40" s="123">
        <f t="shared" ref="Z40" si="34">Z38/Z36</f>
        <v>68.905202200144231</v>
      </c>
      <c r="AA40" s="123">
        <f t="shared" ref="AA40" si="35">AA38/AA36</f>
        <v>68.905202200144231</v>
      </c>
      <c r="AB40" s="123">
        <f t="shared" si="20"/>
        <v>68.905202200144231</v>
      </c>
      <c r="AC40" s="133">
        <f t="shared" ref="AC40" si="36">AC38/AC36</f>
        <v>68.905202200144231</v>
      </c>
      <c r="AD40" s="133">
        <f t="shared" ref="AD40" si="37">AD38/AD36</f>
        <v>68.905202200144231</v>
      </c>
      <c r="AE40" s="133">
        <f t="shared" si="20"/>
        <v>68.905202200144231</v>
      </c>
      <c r="AF40" s="143">
        <f t="shared" ref="AF40:AG40" si="38">AF38/AF36</f>
        <v>89.071280681885284</v>
      </c>
      <c r="AG40" s="143">
        <f t="shared" si="38"/>
        <v>89.071280681885284</v>
      </c>
      <c r="AH40" s="154">
        <f>AH38/AH36</f>
        <v>50.746472423485301</v>
      </c>
      <c r="AI40" s="154">
        <f>AI38/AI36</f>
        <v>50.746472423485301</v>
      </c>
      <c r="AJ40" s="174">
        <f>AJ38/AJ36</f>
        <v>79.37329737975152</v>
      </c>
      <c r="AK40" s="184">
        <f>AK38/AK36</f>
        <v>79.37329737975152</v>
      </c>
      <c r="AL40" s="164">
        <f>AL38/AL36</f>
        <v>79.37329737975152</v>
      </c>
    </row>
    <row r="41" spans="1:38" s="39" customFormat="1" x14ac:dyDescent="0.25">
      <c r="B41" s="40" t="s">
        <v>63</v>
      </c>
      <c r="C41" s="98">
        <f t="shared" ref="C41:AL41" si="39">C38/C3</f>
        <v>3.9916095999999999</v>
      </c>
      <c r="D41" s="98">
        <f t="shared" si="39"/>
        <v>3.3263413333333332</v>
      </c>
      <c r="E41" s="41">
        <f t="shared" si="39"/>
        <v>4.53592</v>
      </c>
      <c r="F41" s="41">
        <f t="shared" si="39"/>
        <v>4.2524250000000006</v>
      </c>
      <c r="G41" s="41">
        <f t="shared" si="39"/>
        <v>3.7799333333333336</v>
      </c>
      <c r="H41" s="88">
        <f t="shared" si="39"/>
        <v>4.9895119999999995</v>
      </c>
      <c r="I41" s="88">
        <f t="shared" si="39"/>
        <v>4.6776675000000001</v>
      </c>
      <c r="J41" s="88">
        <f t="shared" si="39"/>
        <v>4.1579266666666665</v>
      </c>
      <c r="K41" s="47">
        <f t="shared" si="39"/>
        <v>4.9895119999999995</v>
      </c>
      <c r="L41" s="47">
        <f t="shared" si="39"/>
        <v>4.6776675000000001</v>
      </c>
      <c r="M41" s="47">
        <f t="shared" si="39"/>
        <v>4.1579266666666665</v>
      </c>
      <c r="N41" s="78">
        <f t="shared" si="39"/>
        <v>5.1029099999999996</v>
      </c>
      <c r="O41" s="78">
        <f t="shared" si="39"/>
        <v>4.53592</v>
      </c>
      <c r="P41" s="78">
        <f t="shared" si="39"/>
        <v>4.0823280000000004</v>
      </c>
      <c r="Q41" s="68">
        <f t="shared" si="39"/>
        <v>5.1029099999999996</v>
      </c>
      <c r="R41" s="68">
        <f t="shared" si="39"/>
        <v>4.53592</v>
      </c>
      <c r="S41" s="68">
        <f t="shared" si="39"/>
        <v>4.0823280000000004</v>
      </c>
      <c r="T41" s="108">
        <f t="shared" si="39"/>
        <v>5.1029099999999996</v>
      </c>
      <c r="U41" s="108">
        <f t="shared" si="39"/>
        <v>4.53592</v>
      </c>
      <c r="V41" s="108">
        <f t="shared" si="39"/>
        <v>4.0823280000000004</v>
      </c>
      <c r="W41" s="118">
        <f t="shared" si="39"/>
        <v>5.1029099999999996</v>
      </c>
      <c r="X41" s="118">
        <f t="shared" si="39"/>
        <v>4.53592</v>
      </c>
      <c r="Y41" s="118">
        <f t="shared" si="39"/>
        <v>4.0823280000000004</v>
      </c>
      <c r="Z41" s="128">
        <f t="shared" si="39"/>
        <v>6.7269999999999994</v>
      </c>
      <c r="AA41" s="128">
        <f t="shared" si="39"/>
        <v>5.8798962962962955</v>
      </c>
      <c r="AB41" s="128">
        <f t="shared" si="39"/>
        <v>4.9611624999999995</v>
      </c>
      <c r="AC41" s="138">
        <f t="shared" si="39"/>
        <v>6.7269999999999994</v>
      </c>
      <c r="AD41" s="138">
        <f t="shared" si="39"/>
        <v>5.8798962962962955</v>
      </c>
      <c r="AE41" s="138">
        <f t="shared" si="39"/>
        <v>4.9611624999999995</v>
      </c>
      <c r="AF41" s="149">
        <f t="shared" si="39"/>
        <v>5.2114825531914892</v>
      </c>
      <c r="AG41" s="149">
        <f t="shared" si="39"/>
        <v>4.7103784615384612</v>
      </c>
      <c r="AH41" s="159">
        <f t="shared" si="39"/>
        <v>5.9874144000000005</v>
      </c>
      <c r="AI41" s="159">
        <f t="shared" si="39"/>
        <v>5.9874144000000005</v>
      </c>
      <c r="AJ41" s="179">
        <f t="shared" si="39"/>
        <v>4.6493180000000001</v>
      </c>
      <c r="AK41" s="189">
        <f t="shared" si="39"/>
        <v>4.4279219047619049</v>
      </c>
      <c r="AL41" s="169">
        <f t="shared" si="39"/>
        <v>4.3249469767441857</v>
      </c>
    </row>
    <row r="42" spans="1:38" s="36" customFormat="1" x14ac:dyDescent="0.25">
      <c r="B42" s="37" t="s">
        <v>64</v>
      </c>
      <c r="C42" s="99">
        <f t="shared" ref="C42:AL42" si="40">C28*3.78541</f>
        <v>113.56230000000001</v>
      </c>
      <c r="D42" s="99">
        <f t="shared" si="40"/>
        <v>113.56230000000001</v>
      </c>
      <c r="E42" s="38">
        <f t="shared" si="40"/>
        <v>121.13312000000001</v>
      </c>
      <c r="F42" s="38">
        <f t="shared" si="40"/>
        <v>121.13312000000001</v>
      </c>
      <c r="G42" s="38">
        <f t="shared" si="40"/>
        <v>121.13312000000001</v>
      </c>
      <c r="H42" s="89">
        <f t="shared" si="40"/>
        <v>143.84558000000001</v>
      </c>
      <c r="I42" s="89">
        <f t="shared" si="40"/>
        <v>143.84558000000001</v>
      </c>
      <c r="J42" s="89">
        <f t="shared" si="40"/>
        <v>143.84558000000001</v>
      </c>
      <c r="K42" s="48">
        <f t="shared" si="40"/>
        <v>143.84558000000001</v>
      </c>
      <c r="L42" s="48">
        <f t="shared" si="40"/>
        <v>143.84558000000001</v>
      </c>
      <c r="M42" s="48">
        <f t="shared" si="40"/>
        <v>143.84558000000001</v>
      </c>
      <c r="N42" s="79">
        <f t="shared" si="40"/>
        <v>158.98722000000001</v>
      </c>
      <c r="O42" s="79">
        <f t="shared" si="40"/>
        <v>158.98722000000001</v>
      </c>
      <c r="P42" s="79">
        <f t="shared" si="40"/>
        <v>158.98722000000001</v>
      </c>
      <c r="Q42" s="69">
        <f t="shared" si="40"/>
        <v>158.98722000000001</v>
      </c>
      <c r="R42" s="69">
        <f t="shared" si="40"/>
        <v>158.98722000000001</v>
      </c>
      <c r="S42" s="69">
        <f t="shared" si="40"/>
        <v>158.98722000000001</v>
      </c>
      <c r="T42" s="109">
        <f t="shared" si="40"/>
        <v>158.98722000000001</v>
      </c>
      <c r="U42" s="109">
        <f t="shared" si="40"/>
        <v>158.98722000000001</v>
      </c>
      <c r="V42" s="109">
        <f t="shared" si="40"/>
        <v>158.98722000000001</v>
      </c>
      <c r="W42" s="119">
        <f t="shared" si="40"/>
        <v>158.98722000000001</v>
      </c>
      <c r="X42" s="119">
        <f t="shared" si="40"/>
        <v>158.98722000000001</v>
      </c>
      <c r="Y42" s="119">
        <f t="shared" si="40"/>
        <v>158.98722000000001</v>
      </c>
      <c r="Z42" s="129">
        <f t="shared" si="40"/>
        <v>136.27476000000001</v>
      </c>
      <c r="AA42" s="129">
        <f t="shared" si="40"/>
        <v>136.27476000000001</v>
      </c>
      <c r="AB42" s="129">
        <f t="shared" si="40"/>
        <v>136.27476000000001</v>
      </c>
      <c r="AC42" s="139">
        <f t="shared" si="40"/>
        <v>136.27476000000001</v>
      </c>
      <c r="AD42" s="139">
        <f t="shared" si="40"/>
        <v>136.27476000000001</v>
      </c>
      <c r="AE42" s="139">
        <f t="shared" si="40"/>
        <v>136.27476000000001</v>
      </c>
      <c r="AF42" s="150">
        <f t="shared" si="40"/>
        <v>227.12460000000002</v>
      </c>
      <c r="AG42" s="150">
        <f t="shared" si="40"/>
        <v>227.12460000000002</v>
      </c>
      <c r="AH42" s="160">
        <f t="shared" si="40"/>
        <v>75.708200000000005</v>
      </c>
      <c r="AI42" s="160">
        <f t="shared" si="40"/>
        <v>75.708200000000005</v>
      </c>
      <c r="AJ42" s="180">
        <f t="shared" si="40"/>
        <v>189.2705</v>
      </c>
      <c r="AK42" s="190">
        <f t="shared" si="40"/>
        <v>189.2705</v>
      </c>
      <c r="AL42" s="170">
        <f t="shared" si="40"/>
        <v>189.2705</v>
      </c>
    </row>
    <row r="43" spans="1:38" s="5" customFormat="1" x14ac:dyDescent="0.25">
      <c r="B43" s="27" t="s">
        <v>66</v>
      </c>
      <c r="C43" s="95" t="s">
        <v>77</v>
      </c>
      <c r="D43" s="95" t="s">
        <v>77</v>
      </c>
      <c r="E43" s="2">
        <f t="shared" ref="E43:AL43" si="41">E29*0.0254</f>
        <v>0.71119999999999994</v>
      </c>
      <c r="F43" s="2">
        <f t="shared" si="41"/>
        <v>0.71119999999999994</v>
      </c>
      <c r="G43" s="2">
        <f t="shared" si="41"/>
        <v>0.71119999999999994</v>
      </c>
      <c r="H43" s="85">
        <f t="shared" si="41"/>
        <v>1.0922000000000001</v>
      </c>
      <c r="I43" s="85">
        <f t="shared" si="41"/>
        <v>1.0922000000000001</v>
      </c>
      <c r="J43" s="85">
        <f t="shared" si="41"/>
        <v>1.0922000000000001</v>
      </c>
      <c r="K43" s="45">
        <f t="shared" si="41"/>
        <v>1.0922000000000001</v>
      </c>
      <c r="L43" s="45">
        <f t="shared" si="41"/>
        <v>1.0922000000000001</v>
      </c>
      <c r="M43" s="45">
        <f t="shared" si="41"/>
        <v>1.0922000000000001</v>
      </c>
      <c r="N43" s="75">
        <f t="shared" si="41"/>
        <v>1.0922000000000001</v>
      </c>
      <c r="O43" s="75">
        <f t="shared" si="41"/>
        <v>1.0922000000000001</v>
      </c>
      <c r="P43" s="75">
        <f t="shared" si="41"/>
        <v>1.0922000000000001</v>
      </c>
      <c r="Q43" s="65">
        <f t="shared" si="41"/>
        <v>1.0922000000000001</v>
      </c>
      <c r="R43" s="65">
        <f t="shared" si="41"/>
        <v>1.0922000000000001</v>
      </c>
      <c r="S43" s="65">
        <f t="shared" si="41"/>
        <v>1.0922000000000001</v>
      </c>
      <c r="T43" s="105">
        <f t="shared" si="41"/>
        <v>0.83819999999999995</v>
      </c>
      <c r="U43" s="105">
        <f t="shared" si="41"/>
        <v>0.83819999999999995</v>
      </c>
      <c r="V43" s="105">
        <f t="shared" si="41"/>
        <v>0.83819999999999995</v>
      </c>
      <c r="W43" s="115">
        <f t="shared" si="41"/>
        <v>0.83819999999999995</v>
      </c>
      <c r="X43" s="115">
        <f t="shared" si="41"/>
        <v>0.83819999999999995</v>
      </c>
      <c r="Y43" s="115">
        <f t="shared" si="41"/>
        <v>0.83819999999999995</v>
      </c>
      <c r="Z43" s="125">
        <f t="shared" si="41"/>
        <v>1.0922000000000001</v>
      </c>
      <c r="AA43" s="125">
        <f t="shared" si="41"/>
        <v>1.0922000000000001</v>
      </c>
      <c r="AB43" s="125">
        <f t="shared" si="41"/>
        <v>1.0922000000000001</v>
      </c>
      <c r="AC43" s="135">
        <f t="shared" si="41"/>
        <v>1.0922000000000001</v>
      </c>
      <c r="AD43" s="135">
        <f t="shared" si="41"/>
        <v>1.0922000000000001</v>
      </c>
      <c r="AE43" s="135">
        <f t="shared" si="41"/>
        <v>1.0922000000000001</v>
      </c>
      <c r="AF43" s="145">
        <f t="shared" si="41"/>
        <v>1.2255499999999999</v>
      </c>
      <c r="AG43" s="145">
        <f t="shared" si="41"/>
        <v>1.2255499999999999</v>
      </c>
      <c r="AH43" s="156">
        <f t="shared" si="41"/>
        <v>1.0922000000000001</v>
      </c>
      <c r="AI43" s="156">
        <f t="shared" si="41"/>
        <v>1.0922000000000001</v>
      </c>
      <c r="AJ43" s="176">
        <f t="shared" si="41"/>
        <v>1.1683999999999999</v>
      </c>
      <c r="AK43" s="186">
        <f t="shared" si="41"/>
        <v>1.1683999999999999</v>
      </c>
      <c r="AL43" s="166">
        <f t="shared" si="41"/>
        <v>1.1683999999999999</v>
      </c>
    </row>
    <row r="44" spans="1:38" s="39" customFormat="1" x14ac:dyDescent="0.25">
      <c r="B44" s="40" t="s">
        <v>65</v>
      </c>
      <c r="C44" s="98">
        <f t="shared" ref="C44:AL44" si="42">C30*0.453592</f>
        <v>13.607759999999999</v>
      </c>
      <c r="D44" s="98">
        <f t="shared" si="42"/>
        <v>13.607759999999999</v>
      </c>
      <c r="E44" s="41">
        <f t="shared" si="42"/>
        <v>22.679600000000001</v>
      </c>
      <c r="F44" s="41">
        <f t="shared" si="42"/>
        <v>22.679600000000001</v>
      </c>
      <c r="G44" s="41">
        <f t="shared" si="42"/>
        <v>22.679600000000001</v>
      </c>
      <c r="H44" s="88">
        <f t="shared" si="42"/>
        <v>45.359200000000001</v>
      </c>
      <c r="I44" s="88">
        <f t="shared" si="42"/>
        <v>45.359200000000001</v>
      </c>
      <c r="J44" s="88">
        <f t="shared" si="42"/>
        <v>45.359200000000001</v>
      </c>
      <c r="K44" s="47">
        <f t="shared" si="42"/>
        <v>45.359200000000001</v>
      </c>
      <c r="L44" s="47">
        <f t="shared" si="42"/>
        <v>45.359200000000001</v>
      </c>
      <c r="M44" s="47">
        <f t="shared" si="42"/>
        <v>45.359200000000001</v>
      </c>
      <c r="N44" s="78">
        <f t="shared" si="42"/>
        <v>45.359200000000001</v>
      </c>
      <c r="O44" s="78">
        <f t="shared" si="42"/>
        <v>45.359200000000001</v>
      </c>
      <c r="P44" s="78">
        <f t="shared" si="42"/>
        <v>45.359200000000001</v>
      </c>
      <c r="Q44" s="68">
        <f t="shared" si="42"/>
        <v>45.359200000000001</v>
      </c>
      <c r="R44" s="68">
        <f t="shared" si="42"/>
        <v>45.359200000000001</v>
      </c>
      <c r="S44" s="68">
        <f t="shared" si="42"/>
        <v>45.359200000000001</v>
      </c>
      <c r="T44" s="108">
        <f t="shared" si="42"/>
        <v>56.698999999999998</v>
      </c>
      <c r="U44" s="108">
        <f t="shared" si="42"/>
        <v>56.698999999999998</v>
      </c>
      <c r="V44" s="108">
        <f t="shared" si="42"/>
        <v>56.698999999999998</v>
      </c>
      <c r="W44" s="118">
        <f t="shared" si="42"/>
        <v>56.698999999999998</v>
      </c>
      <c r="X44" s="118">
        <f t="shared" si="42"/>
        <v>56.698999999999998</v>
      </c>
      <c r="Y44" s="118">
        <f t="shared" si="42"/>
        <v>56.698999999999998</v>
      </c>
      <c r="Z44" s="128">
        <f t="shared" si="42"/>
        <v>34.019399999999997</v>
      </c>
      <c r="AA44" s="128">
        <f t="shared" si="42"/>
        <v>34.019399999999997</v>
      </c>
      <c r="AB44" s="128">
        <f t="shared" si="42"/>
        <v>34.019399999999997</v>
      </c>
      <c r="AC44" s="138">
        <f t="shared" si="42"/>
        <v>34.019399999999997</v>
      </c>
      <c r="AD44" s="138">
        <f t="shared" si="42"/>
        <v>34.019399999999997</v>
      </c>
      <c r="AE44" s="138">
        <f t="shared" si="42"/>
        <v>34.019399999999997</v>
      </c>
      <c r="AF44" s="149">
        <f t="shared" si="42"/>
        <v>45.359200000000001</v>
      </c>
      <c r="AG44" s="149">
        <f t="shared" si="42"/>
        <v>45.359200000000001</v>
      </c>
      <c r="AH44" s="159">
        <f t="shared" si="42"/>
        <v>34.019399999999997</v>
      </c>
      <c r="AI44" s="159">
        <f t="shared" si="42"/>
        <v>34.019399999999997</v>
      </c>
      <c r="AJ44" s="179">
        <f t="shared" si="42"/>
        <v>45.359200000000001</v>
      </c>
      <c r="AK44" s="189">
        <f t="shared" si="42"/>
        <v>45.359200000000001</v>
      </c>
      <c r="AL44" s="169">
        <f t="shared" si="42"/>
        <v>45.359200000000001</v>
      </c>
    </row>
    <row r="45" spans="1:38" s="33" customFormat="1" x14ac:dyDescent="0.25">
      <c r="B45" s="31" t="s">
        <v>78</v>
      </c>
      <c r="C45" s="93">
        <f t="shared" ref="C45:AI45" si="43">C7*1.609344</f>
        <v>1029.9801600000001</v>
      </c>
      <c r="D45" s="93">
        <f t="shared" si="43"/>
        <v>957.55968000000007</v>
      </c>
      <c r="E45" s="32">
        <f t="shared" si="43"/>
        <v>1029.9801600000001</v>
      </c>
      <c r="F45" s="32">
        <f t="shared" si="43"/>
        <v>1029.9801600000001</v>
      </c>
      <c r="G45" s="32">
        <f t="shared" si="43"/>
        <v>949.51296000000002</v>
      </c>
      <c r="H45" s="83">
        <f t="shared" si="43"/>
        <v>1247.2416000000001</v>
      </c>
      <c r="I45" s="83">
        <f t="shared" si="43"/>
        <v>1247.2416000000001</v>
      </c>
      <c r="J45" s="83">
        <f t="shared" si="43"/>
        <v>1158.72768</v>
      </c>
      <c r="K45" s="43">
        <f t="shared" si="43"/>
        <v>1223.1014400000001</v>
      </c>
      <c r="L45" s="43">
        <f t="shared" si="43"/>
        <v>1223.1014400000001</v>
      </c>
      <c r="M45" s="43">
        <f t="shared" si="43"/>
        <v>1134.58752</v>
      </c>
      <c r="N45" s="73">
        <f t="shared" si="43"/>
        <v>1343.80224</v>
      </c>
      <c r="O45" s="73">
        <f t="shared" si="43"/>
        <v>1247.2416000000001</v>
      </c>
      <c r="P45" s="73">
        <f t="shared" si="43"/>
        <v>1231.1481600000002</v>
      </c>
      <c r="Q45" s="63">
        <f t="shared" si="43"/>
        <v>1327.7088000000001</v>
      </c>
      <c r="R45" s="63">
        <f t="shared" si="43"/>
        <v>1231.1481600000002</v>
      </c>
      <c r="S45" s="63">
        <f t="shared" si="43"/>
        <v>1215.0547200000001</v>
      </c>
      <c r="T45" s="103">
        <f t="shared" si="43"/>
        <v>1375.9891200000002</v>
      </c>
      <c r="U45" s="103">
        <f t="shared" si="43"/>
        <v>1271.38176</v>
      </c>
      <c r="V45" s="103">
        <f t="shared" si="43"/>
        <v>1255.2883200000001</v>
      </c>
      <c r="W45" s="113">
        <f t="shared" si="43"/>
        <v>1359.8956800000001</v>
      </c>
      <c r="X45" s="113">
        <f t="shared" si="43"/>
        <v>1255.2883200000001</v>
      </c>
      <c r="Y45" s="113">
        <f t="shared" si="43"/>
        <v>1239.19488</v>
      </c>
      <c r="Z45" s="123">
        <f t="shared" si="43"/>
        <v>1408.1760000000002</v>
      </c>
      <c r="AA45" s="123">
        <f t="shared" si="43"/>
        <v>1198.96128</v>
      </c>
      <c r="AB45" s="123">
        <f t="shared" si="43"/>
        <v>1142.6342400000001</v>
      </c>
      <c r="AC45" s="133">
        <f t="shared" si="43"/>
        <v>1392.0825600000001</v>
      </c>
      <c r="AD45" s="133">
        <f t="shared" si="43"/>
        <v>1182.8678400000001</v>
      </c>
      <c r="AE45" s="133">
        <f t="shared" si="43"/>
        <v>1126.5408</v>
      </c>
      <c r="AF45" s="143">
        <f t="shared" si="43"/>
        <v>1421.0507520000001</v>
      </c>
      <c r="AG45" s="143">
        <f t="shared" si="43"/>
        <v>1327.7088000000001</v>
      </c>
      <c r="AH45" s="154">
        <f t="shared" si="43"/>
        <v>935.02886400000011</v>
      </c>
      <c r="AI45" s="154">
        <f t="shared" si="43"/>
        <v>893.18592000000001</v>
      </c>
      <c r="AJ45" s="174" t="s">
        <v>77</v>
      </c>
      <c r="AK45" s="184">
        <f>AK7*1.609344</f>
        <v>1310.006016</v>
      </c>
      <c r="AL45" s="164">
        <f>AL7*1.609344</f>
        <v>1466.112384</v>
      </c>
    </row>
    <row r="46" spans="1:38" s="33" customFormat="1" x14ac:dyDescent="0.25">
      <c r="B46" s="31" t="s">
        <v>79</v>
      </c>
      <c r="C46" s="93">
        <f t="shared" ref="C46:AI46" si="44">C8*1.609344</f>
        <v>1239.19488</v>
      </c>
      <c r="D46" s="93">
        <f t="shared" si="44"/>
        <v>1150.6809600000001</v>
      </c>
      <c r="E46" s="32">
        <f t="shared" si="44"/>
        <v>1271.38176</v>
      </c>
      <c r="F46" s="32">
        <f t="shared" si="44"/>
        <v>1271.38176</v>
      </c>
      <c r="G46" s="32">
        <f t="shared" si="44"/>
        <v>1166.7744</v>
      </c>
      <c r="H46" s="83">
        <f t="shared" si="44"/>
        <v>1528.8768</v>
      </c>
      <c r="I46" s="83">
        <f t="shared" si="44"/>
        <v>1528.8768</v>
      </c>
      <c r="J46" s="83">
        <f t="shared" si="44"/>
        <v>1416.2227200000002</v>
      </c>
      <c r="K46" s="43">
        <f t="shared" si="44"/>
        <v>1496.68992</v>
      </c>
      <c r="L46" s="43">
        <f t="shared" si="44"/>
        <v>1496.68992</v>
      </c>
      <c r="M46" s="43">
        <f t="shared" si="44"/>
        <v>1384.03584</v>
      </c>
      <c r="N46" s="73">
        <f t="shared" si="44"/>
        <v>1649.5776000000001</v>
      </c>
      <c r="O46" s="73">
        <f t="shared" si="44"/>
        <v>1528.8768</v>
      </c>
      <c r="P46" s="73">
        <f t="shared" si="44"/>
        <v>1504.7366400000001</v>
      </c>
      <c r="Q46" s="63">
        <f t="shared" si="44"/>
        <v>1633.4841600000002</v>
      </c>
      <c r="R46" s="63">
        <f t="shared" si="44"/>
        <v>1512.7833600000001</v>
      </c>
      <c r="S46" s="63">
        <f t="shared" si="44"/>
        <v>1488.6432000000002</v>
      </c>
      <c r="T46" s="103">
        <f t="shared" si="44"/>
        <v>1657.6243200000001</v>
      </c>
      <c r="U46" s="103">
        <f t="shared" si="44"/>
        <v>1536.9235200000001</v>
      </c>
      <c r="V46" s="103">
        <f t="shared" si="44"/>
        <v>1512.7833600000001</v>
      </c>
      <c r="W46" s="113">
        <f t="shared" si="44"/>
        <v>1641.53088</v>
      </c>
      <c r="X46" s="113">
        <f t="shared" si="44"/>
        <v>1520.8300800000002</v>
      </c>
      <c r="Y46" s="113">
        <f t="shared" si="44"/>
        <v>1496.68992</v>
      </c>
      <c r="Z46" s="123">
        <f t="shared" si="44"/>
        <v>1665.6710400000002</v>
      </c>
      <c r="AA46" s="123">
        <f t="shared" si="44"/>
        <v>1464.5030400000001</v>
      </c>
      <c r="AB46" s="123">
        <f t="shared" si="44"/>
        <v>1384.03584</v>
      </c>
      <c r="AC46" s="133">
        <f t="shared" si="44"/>
        <v>1649.5776000000001</v>
      </c>
      <c r="AD46" s="133">
        <f t="shared" si="44"/>
        <v>1448.4096000000002</v>
      </c>
      <c r="AE46" s="133">
        <f t="shared" si="44"/>
        <v>1367.9424000000001</v>
      </c>
      <c r="AF46" s="143">
        <f t="shared" si="44"/>
        <v>1721.9980800000001</v>
      </c>
      <c r="AG46" s="143">
        <f t="shared" si="44"/>
        <v>1609.3440000000001</v>
      </c>
      <c r="AH46" s="154">
        <f t="shared" si="44"/>
        <v>1062.16704</v>
      </c>
      <c r="AI46" s="154">
        <f t="shared" si="44"/>
        <v>988.13721600000008</v>
      </c>
      <c r="AJ46" s="174" t="s">
        <v>77</v>
      </c>
      <c r="AK46" s="184">
        <f>AK8*1.609344</f>
        <v>1641.53088</v>
      </c>
      <c r="AL46" s="164">
        <f>AL8*1.609344</f>
        <v>1662.452352</v>
      </c>
    </row>
    <row r="47" spans="1:38" s="5" customFormat="1" x14ac:dyDescent="0.25">
      <c r="B47" s="27" t="s">
        <v>71</v>
      </c>
      <c r="C47" s="95">
        <f t="shared" ref="C47:AI47" si="45">235.214583/C9</f>
        <v>11.025683578125001</v>
      </c>
      <c r="D47" s="95">
        <f t="shared" si="45"/>
        <v>11.85955880672269</v>
      </c>
      <c r="E47" s="2">
        <f t="shared" si="45"/>
        <v>11.76072915</v>
      </c>
      <c r="F47" s="2">
        <f t="shared" si="45"/>
        <v>11.76072915</v>
      </c>
      <c r="G47" s="2">
        <f t="shared" si="45"/>
        <v>12.757401111864407</v>
      </c>
      <c r="H47" s="85">
        <f t="shared" si="45"/>
        <v>11.533102134193548</v>
      </c>
      <c r="I47" s="85">
        <f t="shared" si="45"/>
        <v>11.533102134193548</v>
      </c>
      <c r="J47" s="85">
        <f t="shared" si="45"/>
        <v>12.414102991666669</v>
      </c>
      <c r="K47" s="45">
        <f t="shared" si="45"/>
        <v>11.76072915</v>
      </c>
      <c r="L47" s="45">
        <f t="shared" si="45"/>
        <v>11.76072915</v>
      </c>
      <c r="M47" s="45">
        <f t="shared" si="45"/>
        <v>12.678232842553191</v>
      </c>
      <c r="N47" s="75">
        <f t="shared" si="45"/>
        <v>11.831152677844312</v>
      </c>
      <c r="O47" s="75">
        <f t="shared" si="45"/>
        <v>12.74711288516129</v>
      </c>
      <c r="P47" s="75">
        <f t="shared" si="45"/>
        <v>12.913741811764705</v>
      </c>
      <c r="Q47" s="65">
        <f t="shared" si="45"/>
        <v>11.97456058909091</v>
      </c>
      <c r="R47" s="65">
        <f t="shared" si="45"/>
        <v>12.913741811764705</v>
      </c>
      <c r="S47" s="65">
        <f t="shared" si="45"/>
        <v>13.084784749668875</v>
      </c>
      <c r="T47" s="105">
        <f t="shared" si="45"/>
        <v>11.554400568421052</v>
      </c>
      <c r="U47" s="105">
        <f t="shared" si="45"/>
        <v>12.505079096202531</v>
      </c>
      <c r="V47" s="105">
        <f t="shared" si="45"/>
        <v>12.665400623076922</v>
      </c>
      <c r="W47" s="115">
        <f t="shared" si="45"/>
        <v>11.691139036686391</v>
      </c>
      <c r="X47" s="115">
        <f t="shared" si="45"/>
        <v>12.665400623076922</v>
      </c>
      <c r="Y47" s="115">
        <f t="shared" si="45"/>
        <v>12.829886345454547</v>
      </c>
      <c r="Z47" s="125">
        <f t="shared" si="45"/>
        <v>9.6773999862857139</v>
      </c>
      <c r="AA47" s="125">
        <f t="shared" si="45"/>
        <v>11.366073809395974</v>
      </c>
      <c r="AB47" s="125">
        <f t="shared" si="45"/>
        <v>11.926373222535211</v>
      </c>
      <c r="AC47" s="135">
        <f t="shared" si="45"/>
        <v>9.7892774427745657</v>
      </c>
      <c r="AD47" s="135">
        <f t="shared" si="45"/>
        <v>11.520714269387755</v>
      </c>
      <c r="AE47" s="135">
        <f t="shared" si="45"/>
        <v>12.096749982857144</v>
      </c>
      <c r="AF47" s="145">
        <f t="shared" si="45"/>
        <v>15.982870872027179</v>
      </c>
      <c r="AG47" s="145">
        <f t="shared" si="45"/>
        <v>17.106515127272729</v>
      </c>
      <c r="AH47" s="156">
        <f t="shared" si="45"/>
        <v>8.0968875387263335</v>
      </c>
      <c r="AI47" s="156">
        <f t="shared" si="45"/>
        <v>8.4762011891891902</v>
      </c>
      <c r="AJ47" s="176" t="s">
        <v>77</v>
      </c>
      <c r="AK47" s="186">
        <f>235.214583/AK9</f>
        <v>14.448070208845207</v>
      </c>
      <c r="AL47" s="166">
        <f>235.214583/AL9</f>
        <v>12.909691712403953</v>
      </c>
    </row>
    <row r="48" spans="1:38" s="5" customFormat="1" ht="20" thickBot="1" x14ac:dyDescent="0.3">
      <c r="A48" s="17"/>
      <c r="B48" s="30" t="s">
        <v>73</v>
      </c>
      <c r="C48" s="100">
        <f t="shared" ref="C48:AI48" si="46">235.214583/C10</f>
        <v>9.164204532467533</v>
      </c>
      <c r="D48" s="100">
        <f t="shared" si="46"/>
        <v>9.8691433426573436</v>
      </c>
      <c r="E48" s="3">
        <f t="shared" si="46"/>
        <v>9.5276793113924061</v>
      </c>
      <c r="F48" s="3">
        <f t="shared" si="46"/>
        <v>9.5276793113924061</v>
      </c>
      <c r="G48" s="3">
        <f t="shared" si="46"/>
        <v>10.38188504275862</v>
      </c>
      <c r="H48" s="90">
        <f t="shared" si="46"/>
        <v>9.40858332</v>
      </c>
      <c r="I48" s="90">
        <f t="shared" si="46"/>
        <v>9.40858332</v>
      </c>
      <c r="J48" s="90">
        <f t="shared" si="46"/>
        <v>10.156993356818182</v>
      </c>
      <c r="K48" s="49">
        <f t="shared" si="46"/>
        <v>9.6109184451612908</v>
      </c>
      <c r="L48" s="49">
        <f t="shared" si="46"/>
        <v>9.6109184451612908</v>
      </c>
      <c r="M48" s="49">
        <f t="shared" si="46"/>
        <v>10.393202504651162</v>
      </c>
      <c r="N48" s="80">
        <f t="shared" si="46"/>
        <v>9.6380609619512203</v>
      </c>
      <c r="O48" s="80">
        <f t="shared" si="46"/>
        <v>10.398960511578947</v>
      </c>
      <c r="P48" s="80">
        <f t="shared" si="46"/>
        <v>10.565788755080213</v>
      </c>
      <c r="Q48" s="70">
        <f t="shared" si="46"/>
        <v>9.7330172275862061</v>
      </c>
      <c r="R48" s="70">
        <f t="shared" si="46"/>
        <v>10.509587751063831</v>
      </c>
      <c r="S48" s="70">
        <f t="shared" si="46"/>
        <v>10.680013498378377</v>
      </c>
      <c r="T48" s="110">
        <f t="shared" si="46"/>
        <v>9.591274258252426</v>
      </c>
      <c r="U48" s="110">
        <f t="shared" si="46"/>
        <v>10.344515692146597</v>
      </c>
      <c r="V48" s="110">
        <f t="shared" si="46"/>
        <v>10.509587751063831</v>
      </c>
      <c r="W48" s="120">
        <f t="shared" si="46"/>
        <v>9.6853063588235297</v>
      </c>
      <c r="X48" s="120">
        <f t="shared" si="46"/>
        <v>10.453981466666667</v>
      </c>
      <c r="Y48" s="120">
        <f t="shared" si="46"/>
        <v>10.622594070967743</v>
      </c>
      <c r="Z48" s="130">
        <f t="shared" si="46"/>
        <v>8.1813768000000007</v>
      </c>
      <c r="AA48" s="130">
        <f t="shared" si="46"/>
        <v>9.3051922945054937</v>
      </c>
      <c r="AB48" s="130">
        <f t="shared" si="46"/>
        <v>9.846191846511628</v>
      </c>
      <c r="AC48" s="140">
        <f t="shared" si="46"/>
        <v>8.2611951102439036</v>
      </c>
      <c r="AD48" s="140">
        <f t="shared" si="46"/>
        <v>9.40858332</v>
      </c>
      <c r="AE48" s="140">
        <f t="shared" si="46"/>
        <v>9.9620293976470595</v>
      </c>
      <c r="AF48" s="151">
        <f t="shared" si="46"/>
        <v>13.189602785046731</v>
      </c>
      <c r="AG48" s="151">
        <f t="shared" si="46"/>
        <v>14.112874979999999</v>
      </c>
      <c r="AH48" s="161">
        <f t="shared" si="46"/>
        <v>7.1277146363636366</v>
      </c>
      <c r="AI48" s="161">
        <f t="shared" si="46"/>
        <v>7.6617128013029321</v>
      </c>
      <c r="AJ48" s="181" t="s">
        <v>77</v>
      </c>
      <c r="AK48" s="191">
        <f>235.214583/AK10</f>
        <v>11.53012661764706</v>
      </c>
      <c r="AL48" s="171">
        <f>235.214583/AL10</f>
        <v>11.385023378509196</v>
      </c>
    </row>
    <row r="49" spans="2:38" ht="16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2:38" ht="16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2:38" ht="16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2:38" ht="16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2:38" ht="16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2:38" ht="16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2:38" ht="16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2:38" ht="16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9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2:38" ht="16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2:38" ht="16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2:38" ht="16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2:38" ht="16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2:38" ht="16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2:38" ht="16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2:38" ht="16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2:38" ht="16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2:38" ht="16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2:38" ht="16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2:38" ht="16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2:38" ht="16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2:38" ht="16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2:38" ht="16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2:38" ht="16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2:38" ht="16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2:38" ht="16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2:38" ht="16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2:38" ht="16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2:38" ht="16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2:38" ht="16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2:38" ht="16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</row>
    <row r="79" spans="2:38" ht="16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2:38" ht="16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2:38" ht="16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2:38" ht="16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2:38" ht="16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2:38" ht="16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2:38" ht="16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2:38" ht="16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2:38" ht="16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2:38" ht="16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2:38" ht="16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2:38" ht="16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2:38" ht="16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2:38" ht="16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2:38" ht="16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2:38" ht="16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2:38" ht="16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2:38" ht="16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</row>
    <row r="97" spans="2:38" ht="16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</row>
    <row r="98" spans="2:38" ht="16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2:38" ht="16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2:38" ht="16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2:38" ht="16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2:38" ht="16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2:38" ht="16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2:38" ht="16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2:38" ht="16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2:38" ht="16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2:38" ht="16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2:38" ht="16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2:38" ht="16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</row>
    <row r="110" spans="2:38" ht="16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</row>
    <row r="111" spans="2:38" ht="16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</row>
    <row r="112" spans="2:38" ht="16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</row>
    <row r="113" spans="2:38" ht="16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</row>
    <row r="114" spans="2:38" ht="16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</row>
    <row r="115" spans="2:38" ht="16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</row>
    <row r="116" spans="2:38" ht="16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</row>
    <row r="117" spans="2:38" ht="16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2:38" ht="16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</row>
    <row r="119" spans="2:38" ht="16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</row>
    <row r="120" spans="2:38" ht="16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</row>
    <row r="121" spans="2:38" ht="16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</row>
    <row r="122" spans="2:38" ht="16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</row>
    <row r="123" spans="2:38" ht="16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</row>
    <row r="124" spans="2:38" ht="16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</row>
    <row r="125" spans="2:38" ht="16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</row>
    <row r="126" spans="2:38" ht="16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2:38" ht="16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2:38" ht="16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2:38" ht="16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</row>
    <row r="130" spans="2:38" ht="16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</row>
    <row r="131" spans="2:38" ht="16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</row>
    <row r="132" spans="2:38" ht="16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</row>
    <row r="133" spans="2:38" ht="16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</row>
    <row r="134" spans="2:38" ht="16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</row>
    <row r="135" spans="2:38" ht="16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</row>
    <row r="136" spans="2:38" ht="16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</row>
    <row r="137" spans="2:38" ht="16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</row>
    <row r="138" spans="2:38" ht="16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</row>
    <row r="139" spans="2:38" ht="16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</row>
    <row r="140" spans="2:38" ht="16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</row>
    <row r="141" spans="2:38" ht="16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</row>
  </sheetData>
  <pageMargins left="0.7" right="0.7" top="0.75" bottom="0.75" header="0.3" footer="0.3"/>
  <pageSetup paperSize="9" scale="2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Ruiters</dc:creator>
  <cp:lastModifiedBy>Daniel Ruiters</cp:lastModifiedBy>
  <cp:lastPrinted>2021-05-13T10:10:10Z</cp:lastPrinted>
  <dcterms:created xsi:type="dcterms:W3CDTF">2020-01-02T10:13:46Z</dcterms:created>
  <dcterms:modified xsi:type="dcterms:W3CDTF">2021-05-13T19:04:37Z</dcterms:modified>
</cp:coreProperties>
</file>